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188" windowWidth="14808" windowHeight="1116" tabRatio="852" firstSheet="3" activeTab="9"/>
  </bookViews>
  <sheets>
    <sheet name="прил. 1 (поступл.24-26)" sheetId="5" r:id="rId1"/>
    <sheet name="прил.2(пост.безв.24)" sheetId="2" r:id="rId2"/>
    <sheet name="прил.3 (пост.безв.25-26)" sheetId="16" r:id="rId3"/>
    <sheet name="прил 5 (Рз,ПР 24-26)" sheetId="6" r:id="rId4"/>
    <sheet name="прил 6 (ЦС,ВР 24)" sheetId="7" r:id="rId5"/>
    <sheet name="прил 7 (ЦС,ВР 25-26)" sheetId="18" r:id="rId6"/>
    <sheet name="прил8 (ведом 24)" sheetId="3" r:id="rId7"/>
    <sheet name="прил9 (ведом 25-26)" sheetId="19" r:id="rId8"/>
    <sheet name="прил.10 (Источники 24-26)" sheetId="8" r:id="rId9"/>
    <sheet name="прил.11 (безв.всего 23-25)" sheetId="9" r:id="rId10"/>
  </sheets>
  <definedNames>
    <definedName name="_xlnm._FilterDatabase" localSheetId="3" hidden="1">'прил 5 (Рз,ПР 24-26)'!$A$4:$A$65</definedName>
    <definedName name="_xlnm._FilterDatabase" localSheetId="4" hidden="1">'прил 6 (ЦС,ВР 24)'!$A$4:$H$569</definedName>
    <definedName name="_xlnm._FilterDatabase" localSheetId="5" hidden="1">'прил 7 (ЦС,ВР 25-26)'!$A$4:$I$443</definedName>
    <definedName name="_xlnm._FilterDatabase" localSheetId="1" hidden="1">'прил.2(пост.безв.24)'!$B$4:$C$416</definedName>
    <definedName name="_xlnm._FilterDatabase" localSheetId="2" hidden="1">'прил.3 (пост.безв.25-26)'!$A$13:$I$60</definedName>
    <definedName name="_xlnm._FilterDatabase" localSheetId="6" hidden="1">'прил8 (ведом 24)'!$A$4:$M$881</definedName>
    <definedName name="_xlnm._FilterDatabase" localSheetId="7" hidden="1">'прил9 (ведом 25-26)'!$A$4:$N$638</definedName>
    <definedName name="Z_168CADD9_CFDC_4445_BFE6_DAD4B9423C72_.wvu.FilterData" localSheetId="4" hidden="1">'прил 6 (ЦС,ВР 24)'!#REF!</definedName>
    <definedName name="Z_168CADD9_CFDC_4445_BFE6_DAD4B9423C72_.wvu.FilterData" localSheetId="5" hidden="1">'прил 7 (ЦС,ВР 25-26)'!#REF!</definedName>
    <definedName name="Z_1F25B6A1_C9F7_11D8_A2FD_006098EF8B30_.wvu.FilterData" localSheetId="4" hidden="1">'прил 6 (ЦС,ВР 24)'!#REF!</definedName>
    <definedName name="Z_1F25B6A1_C9F7_11D8_A2FD_006098EF8B30_.wvu.FilterData" localSheetId="5" hidden="1">'прил 7 (ЦС,ВР 25-26)'!#REF!</definedName>
    <definedName name="Z_29D950F2_21ED_48E6_BFC6_87DD89E0125A_.wvu.FilterData" localSheetId="4" hidden="1">'прил 6 (ЦС,ВР 24)'!#REF!</definedName>
    <definedName name="Z_29D950F2_21ED_48E6_BFC6_87DD89E0125A_.wvu.FilterData" localSheetId="5" hidden="1">'прил 7 (ЦС,ВР 25-26)'!#REF!</definedName>
    <definedName name="Z_2CA7FCD5_27A5_4474_9D49_7A7E23BD2FF9_.wvu.FilterData" localSheetId="4" hidden="1">'прил 6 (ЦС,ВР 24)'!#REF!</definedName>
    <definedName name="Z_2CA7FCD5_27A5_4474_9D49_7A7E23BD2FF9_.wvu.FilterData" localSheetId="5" hidden="1">'прил 7 (ЦС,ВР 25-26)'!#REF!</definedName>
    <definedName name="Z_48E28AC5_4E0A_4FBA_AE6D_340F9E8D4B3C_.wvu.FilterData" localSheetId="4" hidden="1">'прил 6 (ЦС,ВР 24)'!#REF!</definedName>
    <definedName name="Z_48E28AC5_4E0A_4FBA_AE6D_340F9E8D4B3C_.wvu.FilterData" localSheetId="5" hidden="1">'прил 7 (ЦС,ВР 25-26)'!#REF!</definedName>
    <definedName name="Z_6398E0F2_3205_40F4_BF0A_C9F4D0DA9A75_.wvu.FilterData" localSheetId="4" hidden="1">'прил 6 (ЦС,ВР 24)'!#REF!</definedName>
    <definedName name="Z_6398E0F2_3205_40F4_BF0A_C9F4D0DA9A75_.wvu.FilterData" localSheetId="5" hidden="1">'прил 7 (ЦС,ВР 25-26)'!#REF!</definedName>
    <definedName name="Z_64DF1B77_0EDD_4B56_A91C_5E003BE599EF_.wvu.FilterData" localSheetId="4" hidden="1">'прил 6 (ЦС,ВР 24)'!#REF!</definedName>
    <definedName name="Z_64DF1B77_0EDD_4B56_A91C_5E003BE599EF_.wvu.FilterData" localSheetId="5" hidden="1">'прил 7 (ЦС,ВР 25-26)'!#REF!</definedName>
    <definedName name="Z_6786C020_BCF1_463A_B3E9_7DE69D46EAB3_.wvu.FilterData" localSheetId="4" hidden="1">'прил 6 (ЦС,ВР 24)'!#REF!</definedName>
    <definedName name="Z_6786C020_BCF1_463A_B3E9_7DE69D46EAB3_.wvu.FilterData" localSheetId="5" hidden="1">'прил 7 (ЦС,ВР 25-26)'!#REF!</definedName>
    <definedName name="Z_8E2E7D81_C767_11D8_A2FD_006098EF8B30_.wvu.FilterData" localSheetId="4" hidden="1">'прил 6 (ЦС,ВР 24)'!#REF!</definedName>
    <definedName name="Z_8E2E7D81_C767_11D8_A2FD_006098EF8B30_.wvu.FilterData" localSheetId="5" hidden="1">'прил 7 (ЦС,ВР 25-26)'!#REF!</definedName>
    <definedName name="Z_97D0CDFA_8A34_4B3C_BA32_D4F0E3218B75_.wvu.FilterData" localSheetId="4" hidden="1">'прил 6 (ЦС,ВР 24)'!#REF!</definedName>
    <definedName name="Z_97D0CDFA_8A34_4B3C_BA32_D4F0E3218B75_.wvu.FilterData" localSheetId="5" hidden="1">'прил 7 (ЦС,ВР 25-26)'!#REF!</definedName>
    <definedName name="Z_B246FE0E_E986_4211_B02A_04E4565C0FED_.wvu.Cols" localSheetId="4" hidden="1">'прил 6 (ЦС,ВР 24)'!$A:$A,'прил 6 (ЦС,ВР 24)'!#REF!</definedName>
    <definedName name="Z_B246FE0E_E986_4211_B02A_04E4565C0FED_.wvu.Cols" localSheetId="5" hidden="1">'прил 7 (ЦС,ВР 25-26)'!$A:$A,'прил 7 (ЦС,ВР 25-26)'!#REF!</definedName>
    <definedName name="Z_B246FE0E_E986_4211_B02A_04E4565C0FED_.wvu.FilterData" localSheetId="4" hidden="1">'прил 6 (ЦС,ВР 24)'!#REF!</definedName>
    <definedName name="Z_B246FE0E_E986_4211_B02A_04E4565C0FED_.wvu.FilterData" localSheetId="5" hidden="1">'прил 7 (ЦС,ВР 25-26)'!#REF!</definedName>
    <definedName name="Z_B246FE0E_E986_4211_B02A_04E4565C0FED_.wvu.PrintArea" localSheetId="4" hidden="1">'прил 6 (ЦС,ВР 24)'!#REF!</definedName>
    <definedName name="Z_B246FE0E_E986_4211_B02A_04E4565C0FED_.wvu.PrintArea" localSheetId="5" hidden="1">'прил 7 (ЦС,ВР 25-26)'!#REF!</definedName>
    <definedName name="Z_B246FE0E_E986_4211_B02A_04E4565C0FED_.wvu.PrintTitles" localSheetId="4" hidden="1">'прил 6 (ЦС,ВР 24)'!#REF!</definedName>
    <definedName name="Z_B246FE0E_E986_4211_B02A_04E4565C0FED_.wvu.PrintTitles" localSheetId="5" hidden="1">'прил 7 (ЦС,ВР 25-26)'!#REF!</definedName>
    <definedName name="Z_C54CDF8B_FA5C_4A02_B343_3FEFD9721392_.wvu.FilterData" localSheetId="4" hidden="1">'прил 6 (ЦС,ВР 24)'!#REF!</definedName>
    <definedName name="Z_C54CDF8B_FA5C_4A02_B343_3FEFD9721392_.wvu.FilterData" localSheetId="5" hidden="1">'прил 7 (ЦС,ВР 25-26)'!#REF!</definedName>
    <definedName name="Z_D7174C22_B878_4584_A218_37ED88979064_.wvu.FilterData" localSheetId="4" hidden="1">'прил 6 (ЦС,ВР 24)'!#REF!</definedName>
    <definedName name="Z_D7174C22_B878_4584_A218_37ED88979064_.wvu.FilterData" localSheetId="5" hidden="1">'прил 7 (ЦС,ВР 25-26)'!#REF!</definedName>
    <definedName name="Z_DD7538FB_7299_4DEE_90D5_2739132A1616_.wvu.FilterData" localSheetId="4" hidden="1">'прил 6 (ЦС,ВР 24)'!#REF!</definedName>
    <definedName name="Z_DD7538FB_7299_4DEE_90D5_2739132A1616_.wvu.FilterData" localSheetId="5" hidden="1">'прил 7 (ЦС,ВР 25-26)'!#REF!</definedName>
    <definedName name="Z_E4B436A8_4A5B_422F_8C0E_9267F763D19D_.wvu.FilterData" localSheetId="4" hidden="1">'прил 6 (ЦС,ВР 24)'!#REF!</definedName>
    <definedName name="Z_E4B436A8_4A5B_422F_8C0E_9267F763D19D_.wvu.FilterData" localSheetId="5" hidden="1">'прил 7 (ЦС,ВР 25-26)'!#REF!</definedName>
    <definedName name="Z_E6BB4361_1D58_11D9_A2FD_006098EF8B30_.wvu.FilterData" localSheetId="4" hidden="1">'прил 6 (ЦС,ВР 24)'!#REF!</definedName>
    <definedName name="Z_E6BB4361_1D58_11D9_A2FD_006098EF8B30_.wvu.FilterData" localSheetId="5" hidden="1">'прил 7 (ЦС,ВР 25-26)'!#REF!</definedName>
    <definedName name="Z_EF486DA3_1DF3_11D9_A2FD_006098EF8B30_.wvu.FilterData" localSheetId="4" hidden="1">'прил 6 (ЦС,ВР 24)'!#REF!</definedName>
    <definedName name="Z_EF486DA3_1DF3_11D9_A2FD_006098EF8B30_.wvu.FilterData" localSheetId="5" hidden="1">'прил 7 (ЦС,ВР 25-26)'!#REF!</definedName>
    <definedName name="Z_EF486DA8_1DF3_11D9_A2FD_006098EF8B30_.wvu.FilterData" localSheetId="4" hidden="1">'прил 6 (ЦС,ВР 24)'!#REF!</definedName>
    <definedName name="Z_EF486DA8_1DF3_11D9_A2FD_006098EF8B30_.wvu.FilterData" localSheetId="5" hidden="1">'прил 7 (ЦС,ВР 25-26)'!#REF!</definedName>
    <definedName name="Z_EF486DAA_1DF3_11D9_A2FD_006098EF8B30_.wvu.FilterData" localSheetId="4" hidden="1">'прил 6 (ЦС,ВР 24)'!#REF!</definedName>
    <definedName name="Z_EF486DAA_1DF3_11D9_A2FD_006098EF8B30_.wvu.FilterData" localSheetId="5" hidden="1">'прил 7 (ЦС,ВР 25-26)'!#REF!</definedName>
    <definedName name="Z_EF486DAC_1DF3_11D9_A2FD_006098EF8B30_.wvu.FilterData" localSheetId="4" hidden="1">'прил 6 (ЦС,ВР 24)'!#REF!</definedName>
    <definedName name="Z_EF486DAC_1DF3_11D9_A2FD_006098EF8B30_.wvu.FilterData" localSheetId="5" hidden="1">'прил 7 (ЦС,ВР 25-26)'!#REF!</definedName>
    <definedName name="Z_EF5A4981_C8E4_11D8_A2FC_006098EF8BA8_.wvu.Cols" localSheetId="4" hidden="1">'прил 6 (ЦС,ВР 24)'!$A:$A,'прил 6 (ЦС,ВР 24)'!#REF!,'прил 6 (ЦС,ВР 24)'!#REF!</definedName>
    <definedName name="Z_EF5A4981_C8E4_11D8_A2FC_006098EF8BA8_.wvu.Cols" localSheetId="5" hidden="1">'прил 7 (ЦС,ВР 25-26)'!$A:$A,'прил 7 (ЦС,ВР 25-26)'!#REF!,'прил 7 (ЦС,ВР 25-26)'!#REF!</definedName>
    <definedName name="Z_EF5A4981_C8E4_11D8_A2FC_006098EF8BA8_.wvu.FilterData" localSheetId="4" hidden="1">'прил 6 (ЦС,ВР 24)'!#REF!</definedName>
    <definedName name="Z_EF5A4981_C8E4_11D8_A2FC_006098EF8BA8_.wvu.FilterData" localSheetId="5" hidden="1">'прил 7 (ЦС,ВР 25-26)'!#REF!</definedName>
    <definedName name="Z_EF5A4981_C8E4_11D8_A2FC_006098EF8BA8_.wvu.PrintArea" localSheetId="4" hidden="1">'прил 6 (ЦС,ВР 24)'!#REF!</definedName>
    <definedName name="Z_EF5A4981_C8E4_11D8_A2FC_006098EF8BA8_.wvu.PrintArea" localSheetId="5" hidden="1">'прил 7 (ЦС,ВР 25-26)'!#REF!</definedName>
    <definedName name="Z_EF5A4981_C8E4_11D8_A2FC_006098EF8BA8_.wvu.PrintTitles" localSheetId="4" hidden="1">'прил 6 (ЦС,ВР 24)'!#REF!</definedName>
    <definedName name="Z_EF5A4981_C8E4_11D8_A2FC_006098EF8BA8_.wvu.PrintTitles" localSheetId="5" hidden="1">'прил 7 (ЦС,ВР 25-26)'!#REF!</definedName>
    <definedName name="_xlnm.Print_Titles" localSheetId="3">'прил 5 (Рз,ПР 24-26)'!$14:$14</definedName>
    <definedName name="_xlnm.Print_Titles" localSheetId="4">'прил 6 (ЦС,ВР 24)'!$12:$12</definedName>
    <definedName name="_xlnm.Print_Titles" localSheetId="5">'прил 7 (ЦС,ВР 25-26)'!$13:$13</definedName>
    <definedName name="_xlnm.Print_Titles" localSheetId="0">'прил. 1 (поступл.24-26)'!$14:$14</definedName>
    <definedName name="_xlnm.Print_Titles" localSheetId="8">'прил.10 (Источники 24-26)'!$13:$13</definedName>
    <definedName name="_xlnm.Print_Titles" localSheetId="1">'прил.2(пост.безв.24)'!$13:$13</definedName>
    <definedName name="_xlnm.Print_Titles" localSheetId="2">'прил.3 (пост.безв.25-26)'!$13:$13</definedName>
    <definedName name="_xlnm.Print_Titles" localSheetId="6">'прил8 (ведом 24)'!$13:$13</definedName>
    <definedName name="_xlnm.Print_Titles" localSheetId="7">'прил9 (ведом 25-26)'!$15:$15</definedName>
    <definedName name="_xlnm.Print_Area" localSheetId="3">'прил 5 (Рз,ПР 24-26)'!$A$1:$F$66</definedName>
    <definedName name="_xlnm.Print_Area" localSheetId="4">'прил 6 (ЦС,ВР 24)'!$A$1:$H$559</definedName>
    <definedName name="_xlnm.Print_Area" localSheetId="5">'прил 7 (ЦС,ВР 25-26)'!$A$1:$I$430</definedName>
    <definedName name="_xlnm.Print_Area" localSheetId="0">'прил. 1 (поступл.24-26)'!$A$1:$E$54</definedName>
    <definedName name="_xlnm.Print_Area" localSheetId="8">'прил.10 (Источники 24-26)'!$A$1:$E$35</definedName>
    <definedName name="_xlnm.Print_Area" localSheetId="9">'прил.11 (безв.всего 23-25)'!$A$1:$D$21</definedName>
    <definedName name="_xlnm.Print_Area" localSheetId="1">'прил.2(пост.безв.24)'!$A$1:$C$84</definedName>
    <definedName name="_xlnm.Print_Area" localSheetId="2">'прил.3 (пост.безв.25-26)'!$A$1:$D$66</definedName>
    <definedName name="_xlnm.Print_Area" localSheetId="6">'прил8 (ведом 24)'!$A$1:$M$771</definedName>
    <definedName name="_xlnm.Print_Area" localSheetId="7">'прил9 (ведом 25-26)'!$A$1:$N$575</definedName>
  </definedNames>
  <calcPr calcId="145621"/>
</workbook>
</file>

<file path=xl/calcChain.xml><?xml version="1.0" encoding="utf-8"?>
<calcChain xmlns="http://schemas.openxmlformats.org/spreadsheetml/2006/main">
  <c r="E28" i="8" l="1"/>
  <c r="D28" i="8"/>
  <c r="M609" i="3" l="1"/>
  <c r="M612" i="3"/>
  <c r="M442" i="3" l="1"/>
  <c r="M550" i="3" l="1"/>
  <c r="M485" i="3"/>
  <c r="M22" i="3"/>
  <c r="I328" i="18" l="1"/>
  <c r="I327" i="18" s="1"/>
  <c r="I326" i="18" s="1"/>
  <c r="I325" i="18" s="1"/>
  <c r="I324" i="18" s="1"/>
  <c r="H328" i="18"/>
  <c r="H327" i="18" s="1"/>
  <c r="H326" i="18" s="1"/>
  <c r="H325" i="18" s="1"/>
  <c r="H324" i="18" s="1"/>
  <c r="N31" i="19"/>
  <c r="M31" i="19"/>
  <c r="M58" i="19"/>
  <c r="M57" i="19" s="1"/>
  <c r="M56" i="19" s="1"/>
  <c r="M55" i="19" s="1"/>
  <c r="N58" i="19"/>
  <c r="N57" i="19" s="1"/>
  <c r="N56" i="19" s="1"/>
  <c r="N55" i="19" s="1"/>
  <c r="L59" i="19"/>
  <c r="L58" i="19" s="1"/>
  <c r="L57" i="19" s="1"/>
  <c r="L56" i="19" s="1"/>
  <c r="L55" i="19" s="1"/>
  <c r="H423" i="7"/>
  <c r="H422" i="7" s="1"/>
  <c r="H421" i="7" s="1"/>
  <c r="M59" i="3"/>
  <c r="M58" i="3" s="1"/>
  <c r="M57" i="3" s="1"/>
  <c r="M56" i="3" s="1"/>
  <c r="L60" i="3"/>
  <c r="L59" i="3" s="1"/>
  <c r="L58" i="3" s="1"/>
  <c r="L57" i="3" s="1"/>
  <c r="L56" i="3" s="1"/>
  <c r="M573" i="3" l="1"/>
  <c r="M315" i="3" l="1"/>
  <c r="H325" i="7" l="1"/>
  <c r="H324" i="7" s="1"/>
  <c r="B16" i="9"/>
  <c r="M262" i="3"/>
  <c r="M261" i="3" s="1"/>
  <c r="M260" i="3" s="1"/>
  <c r="M259" i="3" s="1"/>
  <c r="M258" i="3" s="1"/>
  <c r="L263" i="3"/>
  <c r="L262" i="3" s="1"/>
  <c r="L261" i="3" s="1"/>
  <c r="L260" i="3" s="1"/>
  <c r="L259" i="3" s="1"/>
  <c r="L258" i="3" s="1"/>
  <c r="H410" i="7" l="1"/>
  <c r="H409" i="7" s="1"/>
  <c r="H408" i="7" s="1"/>
  <c r="M192" i="3" l="1"/>
  <c r="M191" i="3" s="1"/>
  <c r="M190" i="3" s="1"/>
  <c r="M189" i="3" s="1"/>
  <c r="M188" i="3" s="1"/>
  <c r="M809" i="3" s="1"/>
  <c r="D47" i="6" s="1"/>
  <c r="L193" i="3"/>
  <c r="L192" i="3" s="1"/>
  <c r="L191" i="3" s="1"/>
  <c r="L190" i="3" s="1"/>
  <c r="L189" i="3" s="1"/>
  <c r="L188" i="3" s="1"/>
  <c r="M308" i="3" l="1"/>
  <c r="M722" i="3" l="1"/>
  <c r="M677" i="3"/>
  <c r="M633" i="3"/>
  <c r="M625" i="3"/>
  <c r="M441" i="3"/>
  <c r="M415" i="3"/>
  <c r="M491" i="3"/>
  <c r="M551" i="3"/>
  <c r="M519" i="3"/>
  <c r="M436" i="3"/>
  <c r="M432" i="3"/>
  <c r="M431" i="3"/>
  <c r="M533" i="3"/>
  <c r="M301" i="3"/>
  <c r="M326" i="3"/>
  <c r="M316" i="3"/>
  <c r="M86" i="3"/>
  <c r="H516" i="7" s="1"/>
  <c r="M77" i="3"/>
  <c r="M28" i="3"/>
  <c r="M179" i="3"/>
  <c r="M178" i="3" s="1"/>
  <c r="L180" i="3"/>
  <c r="L179" i="3" s="1"/>
  <c r="L178" i="3" s="1"/>
  <c r="M85" i="3" l="1"/>
  <c r="M630" i="3" l="1"/>
  <c r="M629" i="3"/>
  <c r="M302" i="3"/>
  <c r="H49" i="7"/>
  <c r="M359" i="3"/>
  <c r="L360" i="3"/>
  <c r="L359" i="3" s="1"/>
  <c r="M433" i="3"/>
  <c r="H549" i="7" l="1"/>
  <c r="H548" i="7" s="1"/>
  <c r="M216" i="3"/>
  <c r="M215" i="3" s="1"/>
  <c r="M214" i="3" s="1"/>
  <c r="L217" i="3"/>
  <c r="L216" i="3" s="1"/>
  <c r="L215" i="3" s="1"/>
  <c r="L214" i="3" s="1"/>
  <c r="C19" i="2"/>
  <c r="C79" i="2" l="1"/>
  <c r="C77" i="2" s="1"/>
  <c r="H65" i="7" l="1"/>
  <c r="H64" i="7" s="1"/>
  <c r="M456" i="3"/>
  <c r="L457" i="3"/>
  <c r="L456" i="3" s="1"/>
  <c r="C76" i="2" l="1"/>
  <c r="H161" i="7"/>
  <c r="H160" i="7" s="1"/>
  <c r="M578" i="3"/>
  <c r="L579" i="3"/>
  <c r="L578" i="3" s="1"/>
  <c r="I297" i="18"/>
  <c r="I296" i="18" s="1"/>
  <c r="H297" i="18"/>
  <c r="H296" i="18" s="1"/>
  <c r="N548" i="19"/>
  <c r="M548" i="19"/>
  <c r="L549" i="19"/>
  <c r="L548" i="19" s="1"/>
  <c r="N263" i="19"/>
  <c r="M263" i="19"/>
  <c r="N237" i="19"/>
  <c r="M237" i="19"/>
  <c r="H382" i="7"/>
  <c r="H381" i="7" s="1"/>
  <c r="M744" i="3"/>
  <c r="L745" i="3"/>
  <c r="L744" i="3" s="1"/>
  <c r="H130" i="7"/>
  <c r="H129" i="7" s="1"/>
  <c r="L527" i="3"/>
  <c r="L526" i="3" s="1"/>
  <c r="M526" i="3"/>
  <c r="K526" i="3"/>
  <c r="M375" i="3"/>
  <c r="M321" i="3"/>
  <c r="H542" i="7"/>
  <c r="H541" i="7" s="1"/>
  <c r="H540" i="7" s="1"/>
  <c r="H539" i="7" s="1"/>
  <c r="H538" i="7" s="1"/>
  <c r="H547" i="7"/>
  <c r="H546" i="7" s="1"/>
  <c r="M212" i="3"/>
  <c r="M211" i="3" s="1"/>
  <c r="M210" i="3" s="1"/>
  <c r="M209" i="3" s="1"/>
  <c r="L213" i="3"/>
  <c r="L212" i="3" s="1"/>
  <c r="L211" i="3" s="1"/>
  <c r="L210" i="3" s="1"/>
  <c r="L209" i="3" s="1"/>
  <c r="M54" i="3"/>
  <c r="M92" i="3"/>
  <c r="M91" i="3" s="1"/>
  <c r="M90" i="3" s="1"/>
  <c r="L93" i="3"/>
  <c r="L92" i="3" s="1"/>
  <c r="L91" i="3" s="1"/>
  <c r="L90" i="3" s="1"/>
  <c r="L208" i="3" l="1"/>
  <c r="L207" i="3" s="1"/>
  <c r="M208" i="3"/>
  <c r="K570" i="19"/>
  <c r="K569" i="19" s="1"/>
  <c r="K566" i="19"/>
  <c r="K563" i="19"/>
  <c r="K560" i="19"/>
  <c r="K553" i="19"/>
  <c r="K550" i="19"/>
  <c r="K545" i="19"/>
  <c r="K542" i="19"/>
  <c r="K532" i="19"/>
  <c r="K531" i="19" s="1"/>
  <c r="K530" i="19" s="1"/>
  <c r="K529" i="19" s="1"/>
  <c r="K528" i="19" s="1"/>
  <c r="K527" i="19" s="1"/>
  <c r="K523" i="19"/>
  <c r="K522" i="19" s="1"/>
  <c r="K521" i="19" s="1"/>
  <c r="K520" i="19" s="1"/>
  <c r="K519" i="19" s="1"/>
  <c r="K516" i="19"/>
  <c r="K515" i="19" s="1"/>
  <c r="K513" i="19"/>
  <c r="K512" i="19" s="1"/>
  <c r="K510" i="19"/>
  <c r="K509" i="19" s="1"/>
  <c r="K499" i="19"/>
  <c r="K498" i="19" s="1"/>
  <c r="K497" i="19" s="1"/>
  <c r="K496" i="19" s="1"/>
  <c r="K495" i="19" s="1"/>
  <c r="K494" i="19"/>
  <c r="K493" i="19" s="1"/>
  <c r="K491" i="19"/>
  <c r="K489" i="19"/>
  <c r="K487" i="19"/>
  <c r="K485" i="19" s="1"/>
  <c r="K481" i="19"/>
  <c r="K480" i="19" s="1"/>
  <c r="K479" i="19" s="1"/>
  <c r="K475" i="19"/>
  <c r="K474" i="19" s="1"/>
  <c r="K473" i="19" s="1"/>
  <c r="K472" i="19" s="1"/>
  <c r="K471" i="19" s="1"/>
  <c r="K469" i="19"/>
  <c r="K465" i="19"/>
  <c r="K458" i="19"/>
  <c r="K457" i="19" s="1"/>
  <c r="K456" i="19" s="1"/>
  <c r="K455" i="19" s="1"/>
  <c r="K454" i="19" s="1"/>
  <c r="K453" i="19" s="1"/>
  <c r="K447" i="19"/>
  <c r="K443" i="19"/>
  <c r="K438" i="19"/>
  <c r="K437" i="19" s="1"/>
  <c r="K436" i="19"/>
  <c r="K435" i="19" s="1"/>
  <c r="K431" i="19"/>
  <c r="K430" i="19" s="1"/>
  <c r="K429" i="19"/>
  <c r="K428" i="19" s="1"/>
  <c r="K427" i="19"/>
  <c r="K426" i="19" s="1"/>
  <c r="K425" i="19"/>
  <c r="K424" i="19" s="1"/>
  <c r="K417" i="19"/>
  <c r="K416" i="19" s="1"/>
  <c r="K415" i="19" s="1"/>
  <c r="K414" i="19" s="1"/>
  <c r="K413" i="19" s="1"/>
  <c r="K411" i="19"/>
  <c r="K409" i="19"/>
  <c r="K402" i="19"/>
  <c r="K401" i="19" s="1"/>
  <c r="K400" i="19" s="1"/>
  <c r="K399" i="19" s="1"/>
  <c r="K398" i="19" s="1"/>
  <c r="K397" i="19" s="1"/>
  <c r="K393" i="19"/>
  <c r="K389" i="19"/>
  <c r="K381" i="19"/>
  <c r="K380" i="19" s="1"/>
  <c r="K379" i="19" s="1"/>
  <c r="K378" i="19" s="1"/>
  <c r="K377" i="19" s="1"/>
  <c r="K376" i="19" s="1"/>
  <c r="K374" i="19"/>
  <c r="K373" i="19" s="1"/>
  <c r="K370" i="19"/>
  <c r="K365" i="19"/>
  <c r="K361" i="19"/>
  <c r="K355" i="19"/>
  <c r="K353" i="19"/>
  <c r="K350" i="19"/>
  <c r="K349" i="19"/>
  <c r="K348" i="19" s="1"/>
  <c r="K346" i="19"/>
  <c r="K344" i="19"/>
  <c r="K338" i="19"/>
  <c r="K337" i="19" s="1"/>
  <c r="K336" i="19" s="1"/>
  <c r="K333" i="19"/>
  <c r="K332" i="19" s="1"/>
  <c r="K328" i="19"/>
  <c r="K325" i="19"/>
  <c r="K322" i="19"/>
  <c r="K320" i="19"/>
  <c r="K317" i="19"/>
  <c r="K313" i="19"/>
  <c r="K309" i="19"/>
  <c r="K306" i="19"/>
  <c r="K303" i="19"/>
  <c r="K298" i="19"/>
  <c r="K292" i="19"/>
  <c r="K290" i="19"/>
  <c r="K288" i="19"/>
  <c r="K286" i="19"/>
  <c r="K279" i="19"/>
  <c r="K278" i="19" s="1"/>
  <c r="K276" i="19"/>
  <c r="K275" i="19" s="1"/>
  <c r="K273" i="19"/>
  <c r="K272" i="19" s="1"/>
  <c r="K264" i="19"/>
  <c r="K262" i="19"/>
  <c r="K255" i="19"/>
  <c r="K254" i="19" s="1"/>
  <c r="K253" i="19" s="1"/>
  <c r="K252" i="19" s="1"/>
  <c r="K251" i="19" s="1"/>
  <c r="K249" i="19"/>
  <c r="K248" i="19" s="1"/>
  <c r="K247" i="19" s="1"/>
  <c r="K246" i="19" s="1"/>
  <c r="K245" i="19" s="1"/>
  <c r="K242" i="19"/>
  <c r="K241" i="19"/>
  <c r="K240" i="19" s="1"/>
  <c r="K239" i="19" s="1"/>
  <c r="K238" i="19" s="1"/>
  <c r="K236" i="19"/>
  <c r="K235" i="19" s="1"/>
  <c r="K234" i="19" s="1"/>
  <c r="K232" i="19"/>
  <c r="K231" i="19" s="1"/>
  <c r="K229" i="19"/>
  <c r="K228" i="19" s="1"/>
  <c r="K226" i="19"/>
  <c r="K223" i="19"/>
  <c r="K222" i="19" s="1"/>
  <c r="K219" i="19"/>
  <c r="K218" i="19" s="1"/>
  <c r="K214" i="19"/>
  <c r="K213" i="19" s="1"/>
  <c r="K212" i="19" s="1"/>
  <c r="K204" i="19"/>
  <c r="K203" i="19" s="1"/>
  <c r="K202" i="19" s="1"/>
  <c r="K201" i="19" s="1"/>
  <c r="K200" i="19" s="1"/>
  <c r="K199" i="19" s="1"/>
  <c r="K198" i="19" s="1"/>
  <c r="K195" i="19"/>
  <c r="K194" i="19" s="1"/>
  <c r="K193" i="19" s="1"/>
  <c r="K192" i="19" s="1"/>
  <c r="K191" i="19" s="1"/>
  <c r="K190" i="19" s="1"/>
  <c r="K188" i="19"/>
  <c r="K187" i="19" s="1"/>
  <c r="K186" i="19" s="1"/>
  <c r="K185" i="19" s="1"/>
  <c r="K184" i="19" s="1"/>
  <c r="K183" i="19" s="1"/>
  <c r="K181" i="19"/>
  <c r="K180" i="19" s="1"/>
  <c r="K178" i="19"/>
  <c r="K177" i="19" s="1"/>
  <c r="K171" i="19"/>
  <c r="K170" i="19" s="1"/>
  <c r="K169" i="19" s="1"/>
  <c r="K168" i="19" s="1"/>
  <c r="K167" i="19" s="1"/>
  <c r="K166" i="19" s="1"/>
  <c r="K161" i="19"/>
  <c r="K160" i="19" s="1"/>
  <c r="K159" i="19" s="1"/>
  <c r="K158" i="19" s="1"/>
  <c r="K157" i="19" s="1"/>
  <c r="K155" i="19"/>
  <c r="K154" i="19" s="1"/>
  <c r="K153" i="19" s="1"/>
  <c r="K152" i="19" s="1"/>
  <c r="K151" i="19" s="1"/>
  <c r="K148" i="19"/>
  <c r="K147" i="19" s="1"/>
  <c r="K146" i="19" s="1"/>
  <c r="K145" i="19" s="1"/>
  <c r="K144" i="19" s="1"/>
  <c r="K143" i="19" s="1"/>
  <c r="K141" i="19"/>
  <c r="K140" i="19" s="1"/>
  <c r="K139" i="19" s="1"/>
  <c r="K138" i="19" s="1"/>
  <c r="K136" i="19"/>
  <c r="K135" i="19" s="1"/>
  <c r="K134" i="19" s="1"/>
  <c r="K132" i="19"/>
  <c r="K131" i="19" s="1"/>
  <c r="K130" i="19" s="1"/>
  <c r="K126" i="19"/>
  <c r="K125" i="19" s="1"/>
  <c r="K124" i="19" s="1"/>
  <c r="K123" i="19" s="1"/>
  <c r="K122" i="19" s="1"/>
  <c r="K120" i="19"/>
  <c r="K119" i="19" s="1"/>
  <c r="K117" i="19"/>
  <c r="K116" i="19" s="1"/>
  <c r="K110" i="19"/>
  <c r="K109" i="19" s="1"/>
  <c r="K108" i="19" s="1"/>
  <c r="K104" i="19"/>
  <c r="K103" i="19" s="1"/>
  <c r="K102" i="19" s="1"/>
  <c r="K100" i="19"/>
  <c r="K99" i="19" s="1"/>
  <c r="K97" i="19"/>
  <c r="K96" i="19" s="1"/>
  <c r="K91" i="19"/>
  <c r="K89" i="19"/>
  <c r="K80" i="19"/>
  <c r="K79" i="19" s="1"/>
  <c r="K77" i="19"/>
  <c r="K75" i="19"/>
  <c r="K71" i="19"/>
  <c r="K70" i="19" s="1"/>
  <c r="K68" i="19"/>
  <c r="K67" i="19" s="1"/>
  <c r="K63" i="19"/>
  <c r="K62" i="19" s="1"/>
  <c r="K61" i="19" s="1"/>
  <c r="K60" i="19" s="1"/>
  <c r="K53" i="19"/>
  <c r="K52" i="19" s="1"/>
  <c r="K51" i="19" s="1"/>
  <c r="K50" i="19" s="1"/>
  <c r="K49" i="19" s="1"/>
  <c r="K47" i="19"/>
  <c r="K46" i="19" s="1"/>
  <c r="K45" i="19" s="1"/>
  <c r="K44" i="19" s="1"/>
  <c r="K43" i="19" s="1"/>
  <c r="K40" i="19"/>
  <c r="K37" i="19"/>
  <c r="K35" i="19"/>
  <c r="K33" i="19"/>
  <c r="K29" i="19"/>
  <c r="K23" i="19"/>
  <c r="K22" i="19" s="1"/>
  <c r="K21" i="19" s="1"/>
  <c r="K20" i="19" s="1"/>
  <c r="K19" i="19" s="1"/>
  <c r="K762" i="3"/>
  <c r="K759" i="3"/>
  <c r="K756" i="3"/>
  <c r="K749" i="3"/>
  <c r="K746" i="3"/>
  <c r="K741" i="3"/>
  <c r="K738" i="3"/>
  <c r="K728" i="3"/>
  <c r="K727" i="3" s="1"/>
  <c r="K726" i="3" s="1"/>
  <c r="K725" i="3" s="1"/>
  <c r="K724" i="3" s="1"/>
  <c r="K723" i="3" s="1"/>
  <c r="K722" i="3"/>
  <c r="K721" i="3" s="1"/>
  <c r="K717" i="3"/>
  <c r="K710" i="3"/>
  <c r="K709" i="3" s="1"/>
  <c r="K707" i="3"/>
  <c r="K706" i="3" s="1"/>
  <c r="K704" i="3"/>
  <c r="K703" i="3" s="1"/>
  <c r="K701" i="3"/>
  <c r="K700" i="3" s="1"/>
  <c r="K690" i="3"/>
  <c r="K689" i="3" s="1"/>
  <c r="K688" i="3" s="1"/>
  <c r="K687" i="3" s="1"/>
  <c r="K686" i="3" s="1"/>
  <c r="K685" i="3"/>
  <c r="K684" i="3" s="1"/>
  <c r="K682" i="3"/>
  <c r="K681" i="3"/>
  <c r="K680" i="3" s="1"/>
  <c r="K678" i="3"/>
  <c r="K677" i="3"/>
  <c r="K672" i="3"/>
  <c r="K671" i="3" s="1"/>
  <c r="K670" i="3" s="1"/>
  <c r="K667" i="3"/>
  <c r="K666" i="3" s="1"/>
  <c r="K664" i="3"/>
  <c r="K661" i="3"/>
  <c r="K660" i="3" s="1"/>
  <c r="K659" i="3" s="1"/>
  <c r="K658" i="3" s="1"/>
  <c r="K654" i="3"/>
  <c r="K653" i="3"/>
  <c r="K650" i="3" s="1"/>
  <c r="K643" i="3"/>
  <c r="K642" i="3" s="1"/>
  <c r="K641" i="3" s="1"/>
  <c r="K640" i="3" s="1"/>
  <c r="K639" i="3" s="1"/>
  <c r="K638" i="3" s="1"/>
  <c r="K634" i="3"/>
  <c r="K633" i="3"/>
  <c r="K628" i="3"/>
  <c r="K624" i="3"/>
  <c r="K623" i="3" s="1"/>
  <c r="K622" i="3" s="1"/>
  <c r="K619" i="3"/>
  <c r="K618" i="3" s="1"/>
  <c r="K616" i="3"/>
  <c r="K615" i="3"/>
  <c r="K612" i="3"/>
  <c r="K611" i="3" s="1"/>
  <c r="K609" i="3"/>
  <c r="K608" i="3"/>
  <c r="K605" i="3"/>
  <c r="K604" i="3" s="1"/>
  <c r="K602" i="3"/>
  <c r="K601" i="3"/>
  <c r="K600" i="3" s="1"/>
  <c r="K599" i="3"/>
  <c r="K598" i="3" s="1"/>
  <c r="K597" i="3"/>
  <c r="K596" i="3" s="1"/>
  <c r="K589" i="3"/>
  <c r="K588" i="3" s="1"/>
  <c r="K586" i="3"/>
  <c r="K585" i="3" s="1"/>
  <c r="K581" i="3"/>
  <c r="K580" i="3" s="1"/>
  <c r="K577" i="3"/>
  <c r="K576" i="3" s="1"/>
  <c r="K575" i="3"/>
  <c r="K574" i="3" s="1"/>
  <c r="K573" i="3"/>
  <c r="K572" i="3" s="1"/>
  <c r="K565" i="3"/>
  <c r="K564" i="3" s="1"/>
  <c r="K562" i="3"/>
  <c r="K561" i="3" s="1"/>
  <c r="K553" i="3"/>
  <c r="K552" i="3"/>
  <c r="K551" i="3"/>
  <c r="K550" i="3"/>
  <c r="K541" i="3"/>
  <c r="K540" i="3" s="1"/>
  <c r="K539" i="3" s="1"/>
  <c r="K538" i="3" s="1"/>
  <c r="K537" i="3" s="1"/>
  <c r="K536" i="3" s="1"/>
  <c r="K534" i="3"/>
  <c r="K532" i="3"/>
  <c r="K528" i="3"/>
  <c r="K525" i="3"/>
  <c r="K523" i="3" s="1"/>
  <c r="K521" i="3"/>
  <c r="K520" i="3"/>
  <c r="K519" i="3"/>
  <c r="K516" i="3"/>
  <c r="K514" i="3" s="1"/>
  <c r="K515" i="3"/>
  <c r="K510" i="3"/>
  <c r="K509" i="3" s="1"/>
  <c r="K508" i="3" s="1"/>
  <c r="K504" i="3"/>
  <c r="K503" i="3" s="1"/>
  <c r="K502" i="3" s="1"/>
  <c r="K501" i="3" s="1"/>
  <c r="K500" i="3" s="1"/>
  <c r="K497" i="3"/>
  <c r="K495" i="3"/>
  <c r="K492" i="3"/>
  <c r="K490" i="3"/>
  <c r="K489" i="3"/>
  <c r="K488" i="3" s="1"/>
  <c r="K486" i="3"/>
  <c r="K484" i="3"/>
  <c r="K478" i="3"/>
  <c r="K477" i="3" s="1"/>
  <c r="K476" i="3" s="1"/>
  <c r="K473" i="3"/>
  <c r="K472" i="3" s="1"/>
  <c r="K468" i="3"/>
  <c r="K466" i="3"/>
  <c r="K463" i="3"/>
  <c r="K462" i="3"/>
  <c r="K461" i="3"/>
  <c r="K458" i="3"/>
  <c r="K453" i="3"/>
  <c r="K449" i="3"/>
  <c r="K445" i="3"/>
  <c r="K443" i="3"/>
  <c r="K442" i="3"/>
  <c r="K441" i="3"/>
  <c r="K439" i="3"/>
  <c r="K438" i="3"/>
  <c r="K436" i="3"/>
  <c r="K434" i="3" s="1"/>
  <c r="K432" i="3"/>
  <c r="K431" i="3"/>
  <c r="K430" i="3"/>
  <c r="K423" i="3"/>
  <c r="K422" i="3" s="1"/>
  <c r="K421" i="3" s="1"/>
  <c r="K420" i="3" s="1"/>
  <c r="K418" i="3"/>
  <c r="K416" i="3"/>
  <c r="K414" i="3"/>
  <c r="K413" i="3"/>
  <c r="K412" i="3"/>
  <c r="K411" i="3"/>
  <c r="K410" i="3" s="1"/>
  <c r="K408" i="3"/>
  <c r="K401" i="3"/>
  <c r="K400" i="3" s="1"/>
  <c r="K398" i="3"/>
  <c r="K397" i="3" s="1"/>
  <c r="K396" i="3"/>
  <c r="K395" i="3" s="1"/>
  <c r="K394" i="3" s="1"/>
  <c r="K392" i="3"/>
  <c r="K391" i="3" s="1"/>
  <c r="K383" i="3"/>
  <c r="K382" i="3" s="1"/>
  <c r="K381" i="3" s="1"/>
  <c r="K380" i="3" s="1"/>
  <c r="K379" i="3" s="1"/>
  <c r="K378" i="3" s="1"/>
  <c r="K376" i="3"/>
  <c r="K374" i="3"/>
  <c r="K367" i="3"/>
  <c r="K366" i="3" s="1"/>
  <c r="K365" i="3" s="1"/>
  <c r="K364" i="3" s="1"/>
  <c r="K363" i="3" s="1"/>
  <c r="K361" i="3"/>
  <c r="K358" i="3" s="1"/>
  <c r="K357" i="3" s="1"/>
  <c r="K356" i="3" s="1"/>
  <c r="K355" i="3" s="1"/>
  <c r="K354" i="3"/>
  <c r="K353" i="3" s="1"/>
  <c r="K352" i="3"/>
  <c r="K351" i="3" s="1"/>
  <c r="K345" i="3"/>
  <c r="K344" i="3"/>
  <c r="K343" i="3" s="1"/>
  <c r="K342" i="3" s="1"/>
  <c r="K341" i="3" s="1"/>
  <c r="K340" i="3" s="1"/>
  <c r="K339" i="3" s="1"/>
  <c r="K337" i="3"/>
  <c r="K336" i="3" s="1"/>
  <c r="K335" i="3" s="1"/>
  <c r="K334" i="3"/>
  <c r="K333" i="3" s="1"/>
  <c r="K332" i="3" s="1"/>
  <c r="K331" i="3" s="1"/>
  <c r="K327" i="3"/>
  <c r="K326" i="3"/>
  <c r="K325" i="3" s="1"/>
  <c r="K324" i="3" s="1"/>
  <c r="K323" i="3" s="1"/>
  <c r="K322" i="3" s="1"/>
  <c r="K320" i="3"/>
  <c r="K319" i="3" s="1"/>
  <c r="K318" i="3" s="1"/>
  <c r="K317" i="3" s="1"/>
  <c r="K315" i="3"/>
  <c r="K314" i="3" s="1"/>
  <c r="K313" i="3" s="1"/>
  <c r="K312" i="3" s="1"/>
  <c r="K310" i="3"/>
  <c r="K309" i="3" s="1"/>
  <c r="K308" i="3"/>
  <c r="K307" i="3" s="1"/>
  <c r="K306" i="3" s="1"/>
  <c r="K304" i="3"/>
  <c r="K302" i="3"/>
  <c r="K301" i="3"/>
  <c r="K297" i="3"/>
  <c r="K296" i="3" s="1"/>
  <c r="K293" i="3"/>
  <c r="K292" i="3" s="1"/>
  <c r="K291" i="3" s="1"/>
  <c r="K289" i="3"/>
  <c r="K288" i="3" s="1"/>
  <c r="K280" i="3"/>
  <c r="K279" i="3" s="1"/>
  <c r="K278" i="3" s="1"/>
  <c r="K277" i="3" s="1"/>
  <c r="K276" i="3" s="1"/>
  <c r="K274" i="3"/>
  <c r="K272" i="3"/>
  <c r="K271" i="3"/>
  <c r="K256" i="3"/>
  <c r="K255" i="3" s="1"/>
  <c r="K254" i="3" s="1"/>
  <c r="K253" i="3" s="1"/>
  <c r="K252" i="3" s="1"/>
  <c r="K251" i="3" s="1"/>
  <c r="K249" i="3"/>
  <c r="K248" i="3" s="1"/>
  <c r="K247" i="3" s="1"/>
  <c r="K246" i="3" s="1"/>
  <c r="K245" i="3" s="1"/>
  <c r="K244" i="3" s="1"/>
  <c r="K242" i="3"/>
  <c r="K241" i="3" s="1"/>
  <c r="K239" i="3"/>
  <c r="K238" i="3" s="1"/>
  <c r="K236" i="3"/>
  <c r="K235" i="3" s="1"/>
  <c r="K230" i="3"/>
  <c r="K229" i="3" s="1"/>
  <c r="K227" i="3"/>
  <c r="K225" i="3" s="1"/>
  <c r="K224" i="3" s="1"/>
  <c r="K226" i="3"/>
  <c r="K205" i="3"/>
  <c r="K204" i="3" s="1"/>
  <c r="K203" i="3" s="1"/>
  <c r="K202" i="3" s="1"/>
  <c r="K201" i="3" s="1"/>
  <c r="K200" i="3" s="1"/>
  <c r="K199" i="3"/>
  <c r="K198" i="3" s="1"/>
  <c r="K197" i="3" s="1"/>
  <c r="K196" i="3" s="1"/>
  <c r="K195" i="3" s="1"/>
  <c r="K194" i="3" s="1"/>
  <c r="K187" i="3"/>
  <c r="K186" i="3" s="1"/>
  <c r="K185" i="3" s="1"/>
  <c r="K184" i="3" s="1"/>
  <c r="K183" i="3" s="1"/>
  <c r="K182" i="3" s="1"/>
  <c r="K177" i="3"/>
  <c r="K176" i="3" s="1"/>
  <c r="K175" i="3" s="1"/>
  <c r="K174" i="3" s="1"/>
  <c r="K173" i="3" s="1"/>
  <c r="K172" i="3" s="1"/>
  <c r="K171" i="3" s="1"/>
  <c r="K169" i="3"/>
  <c r="K168" i="3" s="1"/>
  <c r="K167" i="3" s="1"/>
  <c r="K166" i="3" s="1"/>
  <c r="K165" i="3" s="1"/>
  <c r="K164" i="3" s="1"/>
  <c r="K163" i="3"/>
  <c r="K162" i="3" s="1"/>
  <c r="K161" i="3" s="1"/>
  <c r="K160" i="3" s="1"/>
  <c r="K159" i="3" s="1"/>
  <c r="K157" i="3"/>
  <c r="K156" i="3" s="1"/>
  <c r="K155" i="3" s="1"/>
  <c r="K154" i="3" s="1"/>
  <c r="K152" i="3"/>
  <c r="K151" i="3" s="1"/>
  <c r="K150" i="3" s="1"/>
  <c r="K148" i="3"/>
  <c r="K147" i="3" s="1"/>
  <c r="K146" i="3" s="1"/>
  <c r="K143" i="3"/>
  <c r="K142" i="3" s="1"/>
  <c r="K141" i="3" s="1"/>
  <c r="K140" i="3" s="1"/>
  <c r="K139" i="3" s="1"/>
  <c r="K138" i="3" s="1"/>
  <c r="K136" i="3"/>
  <c r="K135" i="3" s="1"/>
  <c r="K133" i="3"/>
  <c r="K132" i="3" s="1"/>
  <c r="K126" i="3"/>
  <c r="K125" i="3" s="1"/>
  <c r="K124" i="3" s="1"/>
  <c r="K122" i="3"/>
  <c r="K120" i="3" s="1"/>
  <c r="K119" i="3" s="1"/>
  <c r="K118" i="3" s="1"/>
  <c r="K117" i="3"/>
  <c r="K116" i="3" s="1"/>
  <c r="K115" i="3" s="1"/>
  <c r="K113" i="3"/>
  <c r="K112" i="3"/>
  <c r="K111" i="3" s="1"/>
  <c r="K105" i="3"/>
  <c r="K103" i="3"/>
  <c r="K102" i="3"/>
  <c r="K101" i="3" s="1"/>
  <c r="K100" i="3"/>
  <c r="K99" i="3" s="1"/>
  <c r="K88" i="3"/>
  <c r="K86" i="3"/>
  <c r="K84" i="3" s="1"/>
  <c r="K85" i="3"/>
  <c r="K81" i="3"/>
  <c r="K80" i="3" s="1"/>
  <c r="K79" i="3"/>
  <c r="K78" i="3" s="1"/>
  <c r="K77" i="3"/>
  <c r="K76" i="3" s="1"/>
  <c r="K73" i="3"/>
  <c r="K72" i="3" s="1"/>
  <c r="K71" i="3" s="1"/>
  <c r="K69" i="3"/>
  <c r="K68" i="3" s="1"/>
  <c r="K64" i="3"/>
  <c r="K63" i="3" s="1"/>
  <c r="K62" i="3" s="1"/>
  <c r="K61" i="3" s="1"/>
  <c r="K54" i="3"/>
  <c r="K53" i="3" s="1"/>
  <c r="K52" i="3" s="1"/>
  <c r="K51" i="3" s="1"/>
  <c r="K50" i="3" s="1"/>
  <c r="K48" i="3"/>
  <c r="K47" i="3" s="1"/>
  <c r="K46" i="3" s="1"/>
  <c r="K45" i="3" s="1"/>
  <c r="K44" i="3" s="1"/>
  <c r="K43" i="3"/>
  <c r="K42" i="3" s="1"/>
  <c r="K41" i="3" s="1"/>
  <c r="K38" i="3"/>
  <c r="K35" i="3"/>
  <c r="K33" i="3"/>
  <c r="K31" i="3"/>
  <c r="K30" i="3"/>
  <c r="K29" i="3"/>
  <c r="K27" i="3" s="1"/>
  <c r="K21" i="3"/>
  <c r="K20" i="3" s="1"/>
  <c r="K19" i="3" s="1"/>
  <c r="K18" i="3" s="1"/>
  <c r="K17" i="3" s="1"/>
  <c r="D60" i="16"/>
  <c r="C60" i="16"/>
  <c r="C72" i="2"/>
  <c r="M207" i="3" l="1"/>
  <c r="M825" i="3"/>
  <c r="D58" i="6" s="1"/>
  <c r="K261" i="19"/>
  <c r="K260" i="19" s="1"/>
  <c r="K259" i="19" s="1"/>
  <c r="K258" i="19" s="1"/>
  <c r="K257" i="19" s="1"/>
  <c r="K442" i="19"/>
  <c r="K441" i="19" s="1"/>
  <c r="K440" i="19" s="1"/>
  <c r="K439" i="19" s="1"/>
  <c r="K464" i="19"/>
  <c r="K463" i="19" s="1"/>
  <c r="K462" i="19" s="1"/>
  <c r="K461" i="19" s="1"/>
  <c r="K483" i="3"/>
  <c r="K482" i="3" s="1"/>
  <c r="K481" i="3" s="1"/>
  <c r="K480" i="3" s="1"/>
  <c r="K244" i="19"/>
  <c r="K408" i="19"/>
  <c r="K407" i="19" s="1"/>
  <c r="K406" i="19" s="1"/>
  <c r="K405" i="19" s="1"/>
  <c r="K404" i="19" s="1"/>
  <c r="K423" i="19"/>
  <c r="K422" i="19" s="1"/>
  <c r="K541" i="19"/>
  <c r="K540" i="19" s="1"/>
  <c r="K539" i="19" s="1"/>
  <c r="K538" i="19" s="1"/>
  <c r="K28" i="19"/>
  <c r="K27" i="19" s="1"/>
  <c r="K26" i="19" s="1"/>
  <c r="K25" i="19" s="1"/>
  <c r="K88" i="19"/>
  <c r="K87" i="19" s="1"/>
  <c r="K86" i="19" s="1"/>
  <c r="K85" i="19" s="1"/>
  <c r="K484" i="19"/>
  <c r="K483" i="19" s="1"/>
  <c r="K478" i="19" s="1"/>
  <c r="K477" i="19" s="1"/>
  <c r="K460" i="19" s="1"/>
  <c r="K452" i="19" s="1"/>
  <c r="K388" i="19"/>
  <c r="K387" i="19" s="1"/>
  <c r="K386" i="19" s="1"/>
  <c r="K385" i="19" s="1"/>
  <c r="K384" i="19" s="1"/>
  <c r="K74" i="19"/>
  <c r="K66" i="19" s="1"/>
  <c r="K65" i="19" s="1"/>
  <c r="K54" i="19" s="1"/>
  <c r="K18" i="19" s="1"/>
  <c r="K217" i="19"/>
  <c r="K216" i="19" s="1"/>
  <c r="K211" i="19" s="1"/>
  <c r="K210" i="19" s="1"/>
  <c r="K209" i="19" s="1"/>
  <c r="K297" i="19"/>
  <c r="K296" i="19" s="1"/>
  <c r="K295" i="19" s="1"/>
  <c r="K294" i="19" s="1"/>
  <c r="K343" i="19"/>
  <c r="K342" i="19" s="1"/>
  <c r="K341" i="19" s="1"/>
  <c r="K340" i="19" s="1"/>
  <c r="K360" i="19"/>
  <c r="K359" i="19" s="1"/>
  <c r="K358" i="19" s="1"/>
  <c r="K357" i="19" s="1"/>
  <c r="K285" i="19"/>
  <c r="K284" i="19" s="1"/>
  <c r="K283" i="19" s="1"/>
  <c r="K282" i="19" s="1"/>
  <c r="K434" i="19"/>
  <c r="K433" i="19" s="1"/>
  <c r="K559" i="19"/>
  <c r="K558" i="19" s="1"/>
  <c r="K557" i="19" s="1"/>
  <c r="K556" i="19" s="1"/>
  <c r="K537" i="19" s="1"/>
  <c r="K536" i="19" s="1"/>
  <c r="K300" i="3"/>
  <c r="K295" i="3" s="1"/>
  <c r="K294" i="3" s="1"/>
  <c r="K83" i="3"/>
  <c r="K373" i="3"/>
  <c r="K372" i="3" s="1"/>
  <c r="K371" i="3" s="1"/>
  <c r="K370" i="3" s="1"/>
  <c r="K369" i="3" s="1"/>
  <c r="K607" i="3"/>
  <c r="K606" i="3" s="1"/>
  <c r="K676" i="3"/>
  <c r="K675" i="3" s="1"/>
  <c r="K674" i="3" s="1"/>
  <c r="K669" i="3" s="1"/>
  <c r="K668" i="3" s="1"/>
  <c r="K98" i="3"/>
  <c r="K97" i="3" s="1"/>
  <c r="K96" i="3" s="1"/>
  <c r="K95" i="3" s="1"/>
  <c r="K270" i="3"/>
  <c r="K269" i="3" s="1"/>
  <c r="K268" i="3" s="1"/>
  <c r="K267" i="3" s="1"/>
  <c r="K266" i="3" s="1"/>
  <c r="K265" i="3" s="1"/>
  <c r="K632" i="3"/>
  <c r="K627" i="3" s="1"/>
  <c r="K626" i="3" s="1"/>
  <c r="K621" i="3" s="1"/>
  <c r="K620" i="3" s="1"/>
  <c r="K287" i="3"/>
  <c r="K649" i="3"/>
  <c r="K648" i="3" s="1"/>
  <c r="K647" i="3" s="1"/>
  <c r="K646" i="3" s="1"/>
  <c r="K737" i="3"/>
  <c r="K736" i="3" s="1"/>
  <c r="K735" i="3" s="1"/>
  <c r="K734" i="3" s="1"/>
  <c r="K75" i="3"/>
  <c r="K110" i="3"/>
  <c r="K109" i="3" s="1"/>
  <c r="K108" i="3" s="1"/>
  <c r="K107" i="3" s="1"/>
  <c r="K531" i="3"/>
  <c r="K460" i="3"/>
  <c r="K571" i="3"/>
  <c r="K570" i="3" s="1"/>
  <c r="K569" i="3" s="1"/>
  <c r="K568" i="3" s="1"/>
  <c r="K26" i="3"/>
  <c r="K25" i="3" s="1"/>
  <c r="K24" i="3" s="1"/>
  <c r="K23" i="3" s="1"/>
  <c r="K518" i="3"/>
  <c r="K513" i="3" s="1"/>
  <c r="K176" i="19"/>
  <c r="K175" i="19" s="1"/>
  <c r="K174" i="19" s="1"/>
  <c r="K165" i="19" s="1"/>
  <c r="K164" i="19" s="1"/>
  <c r="K508" i="19"/>
  <c r="K507" i="19" s="1"/>
  <c r="K506" i="19" s="1"/>
  <c r="K505" i="19" s="1"/>
  <c r="K95" i="19"/>
  <c r="K94" i="19" s="1"/>
  <c r="K93" i="19" s="1"/>
  <c r="K150" i="19"/>
  <c r="K115" i="19"/>
  <c r="K114" i="19" s="1"/>
  <c r="K113" i="19" s="1"/>
  <c r="K518" i="19"/>
  <c r="K271" i="19"/>
  <c r="K270" i="19" s="1"/>
  <c r="K269" i="19" s="1"/>
  <c r="K268" i="19" s="1"/>
  <c r="K350" i="3"/>
  <c r="K349" i="3" s="1"/>
  <c r="K348" i="3" s="1"/>
  <c r="K347" i="3" s="1"/>
  <c r="K346" i="3" s="1"/>
  <c r="K407" i="3"/>
  <c r="K406" i="3" s="1"/>
  <c r="K405" i="3" s="1"/>
  <c r="K404" i="3" s="1"/>
  <c r="K429" i="3"/>
  <c r="K614" i="3"/>
  <c r="K613" i="3" s="1"/>
  <c r="K716" i="3"/>
  <c r="K715" i="3" s="1"/>
  <c r="K714" i="3" s="1"/>
  <c r="K713" i="3" s="1"/>
  <c r="K712" i="3" s="1"/>
  <c r="K755" i="3"/>
  <c r="K754" i="3" s="1"/>
  <c r="K753" i="3" s="1"/>
  <c r="K752" i="3" s="1"/>
  <c r="K440" i="3"/>
  <c r="K145" i="3"/>
  <c r="K144" i="3" s="1"/>
  <c r="K663" i="3"/>
  <c r="K662" i="3" s="1"/>
  <c r="K657" i="3" s="1"/>
  <c r="K656" i="3" s="1"/>
  <c r="K584" i="3"/>
  <c r="K583" i="3" s="1"/>
  <c r="K582" i="3" s="1"/>
  <c r="K131" i="3"/>
  <c r="K130" i="3" s="1"/>
  <c r="K129" i="3" s="1"/>
  <c r="K330" i="3"/>
  <c r="K329" i="3" s="1"/>
  <c r="K328" i="3" s="1"/>
  <c r="K234" i="3"/>
  <c r="K233" i="3" s="1"/>
  <c r="K232" i="3" s="1"/>
  <c r="K560" i="3"/>
  <c r="K559" i="3" s="1"/>
  <c r="K558" i="3" s="1"/>
  <c r="K557" i="3" s="1"/>
  <c r="K129" i="19"/>
  <c r="K128" i="19" s="1"/>
  <c r="K181" i="3"/>
  <c r="K223" i="3"/>
  <c r="K222" i="3" s="1"/>
  <c r="K221" i="3" s="1"/>
  <c r="K437" i="3"/>
  <c r="K549" i="3"/>
  <c r="K548" i="3" s="1"/>
  <c r="K547" i="3" s="1"/>
  <c r="K546" i="3" s="1"/>
  <c r="K545" i="3" s="1"/>
  <c r="K544" i="3" s="1"/>
  <c r="K699" i="3"/>
  <c r="K698" i="3" s="1"/>
  <c r="K697" i="3" s="1"/>
  <c r="K696" i="3" s="1"/>
  <c r="K390" i="3"/>
  <c r="K389" i="3" s="1"/>
  <c r="K388" i="3" s="1"/>
  <c r="K387" i="3" s="1"/>
  <c r="K595" i="3"/>
  <c r="C32" i="2"/>
  <c r="C31" i="2" s="1"/>
  <c r="K208" i="19" l="1"/>
  <c r="K67" i="3"/>
  <c r="K66" i="3" s="1"/>
  <c r="K55" i="3" s="1"/>
  <c r="K16" i="3" s="1"/>
  <c r="K112" i="19"/>
  <c r="K84" i="19"/>
  <c r="K281" i="19"/>
  <c r="K267" i="19" s="1"/>
  <c r="K421" i="19"/>
  <c r="K420" i="19" s="1"/>
  <c r="K419" i="19" s="1"/>
  <c r="K396" i="19" s="1"/>
  <c r="K512" i="3"/>
  <c r="K507" i="3" s="1"/>
  <c r="K506" i="3" s="1"/>
  <c r="K594" i="3"/>
  <c r="K593" i="3" s="1"/>
  <c r="K592" i="3" s="1"/>
  <c r="K591" i="3" s="1"/>
  <c r="K428" i="3"/>
  <c r="K427" i="3" s="1"/>
  <c r="K426" i="3" s="1"/>
  <c r="K425" i="3" s="1"/>
  <c r="K94" i="3"/>
  <c r="K567" i="3"/>
  <c r="K286" i="3"/>
  <c r="K285" i="3" s="1"/>
  <c r="K284" i="3" s="1"/>
  <c r="K283" i="3" s="1"/>
  <c r="K733" i="3"/>
  <c r="K732" i="3" s="1"/>
  <c r="K504" i="19"/>
  <c r="K645" i="3"/>
  <c r="K637" i="3" s="1"/>
  <c r="K220" i="3"/>
  <c r="K219" i="3" s="1"/>
  <c r="K128" i="3"/>
  <c r="K695" i="3"/>
  <c r="D41" i="16"/>
  <c r="C41" i="16"/>
  <c r="C53" i="2"/>
  <c r="K17" i="19" l="1"/>
  <c r="K16" i="19" s="1"/>
  <c r="K403" i="3"/>
  <c r="K386" i="3" s="1"/>
  <c r="K556" i="3"/>
  <c r="K15" i="3"/>
  <c r="M334" i="3"/>
  <c r="K14" i="3" l="1"/>
  <c r="M681" i="3"/>
  <c r="M678" i="3"/>
  <c r="M352" i="3" l="1"/>
  <c r="M297" i="3"/>
  <c r="H231" i="7" l="1"/>
  <c r="M664" i="3"/>
  <c r="M661" i="3"/>
  <c r="L665" i="3"/>
  <c r="L664" i="3" s="1"/>
  <c r="I62" i="18" l="1"/>
  <c r="H62" i="18"/>
  <c r="I61" i="18"/>
  <c r="H61" i="18"/>
  <c r="M325" i="19" l="1"/>
  <c r="L327" i="19"/>
  <c r="L326" i="19"/>
  <c r="N325" i="19"/>
  <c r="L325" i="19" l="1"/>
  <c r="M354" i="3"/>
  <c r="M271" i="3" l="1"/>
  <c r="M272" i="3"/>
  <c r="C32" i="5" l="1"/>
  <c r="N487" i="19" l="1"/>
  <c r="M487" i="19"/>
  <c r="M685" i="3"/>
  <c r="N494" i="19"/>
  <c r="M494" i="19"/>
  <c r="D28" i="16"/>
  <c r="C28" i="16"/>
  <c r="C38" i="2"/>
  <c r="M616" i="3" l="1"/>
  <c r="M634" i="3" l="1"/>
  <c r="M293" i="3"/>
  <c r="M597" i="3"/>
  <c r="M122" i="3"/>
  <c r="M577" i="3" l="1"/>
  <c r="M599" i="3"/>
  <c r="M439" i="3" l="1"/>
  <c r="M413" i="3"/>
  <c r="M351" i="3"/>
  <c r="H24" i="7"/>
  <c r="L352" i="3" l="1"/>
  <c r="L351" i="3" s="1"/>
  <c r="H34" i="7" l="1"/>
  <c r="M43" i="3"/>
  <c r="H489" i="7" s="1"/>
  <c r="H488" i="7" s="1"/>
  <c r="M29" i="3"/>
  <c r="M42" i="3" l="1"/>
  <c r="M41" i="3" s="1"/>
  <c r="L43" i="3"/>
  <c r="L42" i="3" s="1"/>
  <c r="L41" i="3" s="1"/>
  <c r="M187" i="3" l="1"/>
  <c r="M199" i="3"/>
  <c r="M177" i="3"/>
  <c r="C46" i="5" l="1"/>
  <c r="M143" i="3" l="1"/>
  <c r="M552" i="3" l="1"/>
  <c r="M520" i="3"/>
  <c r="M516" i="3"/>
  <c r="M396" i="3"/>
  <c r="H33" i="7"/>
  <c r="M353" i="3"/>
  <c r="L354" i="3"/>
  <c r="L353" i="3" s="1"/>
  <c r="M350" i="3" l="1"/>
  <c r="M349" i="3" s="1"/>
  <c r="M348" i="3" s="1"/>
  <c r="M347" i="3" s="1"/>
  <c r="L350" i="3"/>
  <c r="L349" i="3" s="1"/>
  <c r="L348" i="3" s="1"/>
  <c r="L347" i="3" s="1"/>
  <c r="C25" i="2"/>
  <c r="C23" i="2" s="1"/>
  <c r="L554" i="3" l="1"/>
  <c r="L553" i="3" s="1"/>
  <c r="L552" i="3"/>
  <c r="M430" i="3" l="1"/>
  <c r="H184" i="7" l="1"/>
  <c r="H183" i="7" s="1"/>
  <c r="M611" i="3"/>
  <c r="L612" i="3"/>
  <c r="L611" i="3" s="1"/>
  <c r="M411" i="3" l="1"/>
  <c r="H42" i="7" l="1"/>
  <c r="M73" i="3" l="1"/>
  <c r="M575" i="3" l="1"/>
  <c r="M434" i="3" l="1"/>
  <c r="L435" i="3"/>
  <c r="M438" i="3" l="1"/>
  <c r="H369" i="7" l="1"/>
  <c r="M337" i="3"/>
  <c r="M336" i="3" s="1"/>
  <c r="M335" i="3" s="1"/>
  <c r="L338" i="3"/>
  <c r="L337" i="3" s="1"/>
  <c r="L336" i="3" s="1"/>
  <c r="L335" i="3" s="1"/>
  <c r="H512" i="7" l="1"/>
  <c r="H511" i="7" s="1"/>
  <c r="H510" i="7" s="1"/>
  <c r="M81" i="3"/>
  <c r="M80" i="3" s="1"/>
  <c r="L82" i="3"/>
  <c r="L81" i="3" s="1"/>
  <c r="L80" i="3" s="1"/>
  <c r="M102" i="3" l="1"/>
  <c r="M30" i="3"/>
  <c r="M327" i="3" l="1"/>
  <c r="M117" i="3"/>
  <c r="L568" i="19"/>
  <c r="L567" i="19"/>
  <c r="L565" i="19"/>
  <c r="L564" i="19"/>
  <c r="L562" i="19"/>
  <c r="L561" i="19"/>
  <c r="L555" i="19"/>
  <c r="L554" i="19"/>
  <c r="L552" i="19"/>
  <c r="L551" i="19"/>
  <c r="L547" i="19"/>
  <c r="L546" i="19"/>
  <c r="L544" i="19"/>
  <c r="L543" i="19"/>
  <c r="L534" i="19"/>
  <c r="L533" i="19"/>
  <c r="L526" i="19"/>
  <c r="L525" i="19"/>
  <c r="L524" i="19"/>
  <c r="L517" i="19"/>
  <c r="L516" i="19" s="1"/>
  <c r="L515" i="19" s="1"/>
  <c r="L514" i="19"/>
  <c r="L513" i="19" s="1"/>
  <c r="L512" i="19" s="1"/>
  <c r="L511" i="19"/>
  <c r="L510" i="19" s="1"/>
  <c r="L509" i="19" s="1"/>
  <c r="L502" i="19"/>
  <c r="L501" i="19"/>
  <c r="L500" i="19"/>
  <c r="L494" i="19"/>
  <c r="L493" i="19" s="1"/>
  <c r="L492" i="19"/>
  <c r="L490" i="19"/>
  <c r="L489" i="19" s="1"/>
  <c r="L488" i="19"/>
  <c r="L487" i="19"/>
  <c r="L486" i="19"/>
  <c r="L482" i="19"/>
  <c r="L481" i="19" s="1"/>
  <c r="L480" i="19" s="1"/>
  <c r="L479" i="19" s="1"/>
  <c r="L476" i="19"/>
  <c r="L475" i="19" s="1"/>
  <c r="L474" i="19" s="1"/>
  <c r="L473" i="19" s="1"/>
  <c r="L472" i="19" s="1"/>
  <c r="L471" i="19" s="1"/>
  <c r="L470" i="19"/>
  <c r="L469" i="19" s="1"/>
  <c r="L468" i="19"/>
  <c r="L467" i="19"/>
  <c r="L466" i="19"/>
  <c r="L459" i="19"/>
  <c r="L458" i="19" s="1"/>
  <c r="L457" i="19" s="1"/>
  <c r="L456" i="19" s="1"/>
  <c r="L455" i="19" s="1"/>
  <c r="L454" i="19" s="1"/>
  <c r="L453" i="19" s="1"/>
  <c r="L450" i="19"/>
  <c r="L449" i="19"/>
  <c r="L448" i="19"/>
  <c r="L446" i="19"/>
  <c r="L445" i="19"/>
  <c r="L444" i="19"/>
  <c r="L432" i="19"/>
  <c r="L431" i="19" s="1"/>
  <c r="L430" i="19" s="1"/>
  <c r="L418" i="19"/>
  <c r="L417" i="19" s="1"/>
  <c r="L416" i="19" s="1"/>
  <c r="L415" i="19" s="1"/>
  <c r="L414" i="19" s="1"/>
  <c r="L413" i="19" s="1"/>
  <c r="L412" i="19"/>
  <c r="L411" i="19" s="1"/>
  <c r="L410" i="19"/>
  <c r="L409" i="19" s="1"/>
  <c r="L403" i="19"/>
  <c r="L402" i="19" s="1"/>
  <c r="L401" i="19" s="1"/>
  <c r="L400" i="19" s="1"/>
  <c r="L399" i="19" s="1"/>
  <c r="L398" i="19" s="1"/>
  <c r="L397" i="19" s="1"/>
  <c r="L394" i="19"/>
  <c r="L393" i="19" s="1"/>
  <c r="L392" i="19"/>
  <c r="L391" i="19"/>
  <c r="L390" i="19"/>
  <c r="L383" i="19"/>
  <c r="L382" i="19"/>
  <c r="L375" i="19"/>
  <c r="L374" i="19" s="1"/>
  <c r="L373" i="19" s="1"/>
  <c r="L372" i="19"/>
  <c r="L371" i="19"/>
  <c r="L369" i="19"/>
  <c r="L368" i="19"/>
  <c r="L367" i="19"/>
  <c r="L366" i="19"/>
  <c r="L364" i="19"/>
  <c r="L362" i="19"/>
  <c r="L363" i="19"/>
  <c r="L356" i="19"/>
  <c r="L355" i="19" s="1"/>
  <c r="L354" i="19"/>
  <c r="L353" i="19" s="1"/>
  <c r="L352" i="19"/>
  <c r="L351" i="19"/>
  <c r="L347" i="19"/>
  <c r="L346" i="19" s="1"/>
  <c r="L345" i="19"/>
  <c r="L344" i="19" s="1"/>
  <c r="L339" i="19"/>
  <c r="L338" i="19" s="1"/>
  <c r="L337" i="19" s="1"/>
  <c r="L336" i="19" s="1"/>
  <c r="L335" i="19"/>
  <c r="L334" i="19"/>
  <c r="L331" i="19"/>
  <c r="L330" i="19"/>
  <c r="L329" i="19"/>
  <c r="L324" i="19"/>
  <c r="L323" i="19"/>
  <c r="L321" i="19"/>
  <c r="L320" i="19" s="1"/>
  <c r="L319" i="19"/>
  <c r="L318" i="19"/>
  <c r="L316" i="19"/>
  <c r="L315" i="19"/>
  <c r="L314" i="19"/>
  <c r="L312" i="19"/>
  <c r="L311" i="19"/>
  <c r="L310" i="19"/>
  <c r="L308" i="19"/>
  <c r="L307" i="19"/>
  <c r="L305" i="19"/>
  <c r="L304" i="19"/>
  <c r="L302" i="19"/>
  <c r="L301" i="19"/>
  <c r="L300" i="19"/>
  <c r="L299" i="19"/>
  <c r="L293" i="19"/>
  <c r="L292" i="19" s="1"/>
  <c r="L291" i="19"/>
  <c r="L290" i="19" s="1"/>
  <c r="L289" i="19"/>
  <c r="L288" i="19" s="1"/>
  <c r="L287" i="19"/>
  <c r="L286" i="19" s="1"/>
  <c r="L280" i="19"/>
  <c r="L279" i="19" s="1"/>
  <c r="L278" i="19" s="1"/>
  <c r="L277" i="19"/>
  <c r="L276" i="19" s="1"/>
  <c r="L275" i="19" s="1"/>
  <c r="L274" i="19"/>
  <c r="L273" i="19" s="1"/>
  <c r="L272" i="19" s="1"/>
  <c r="L265" i="19"/>
  <c r="L264" i="19" s="1"/>
  <c r="L263" i="19"/>
  <c r="L262" i="19" s="1"/>
  <c r="L256" i="19"/>
  <c r="L255" i="19" s="1"/>
  <c r="L254" i="19" s="1"/>
  <c r="L253" i="19" s="1"/>
  <c r="L252" i="19" s="1"/>
  <c r="L251" i="19" s="1"/>
  <c r="L250" i="19"/>
  <c r="L249" i="19" s="1"/>
  <c r="L248" i="19" s="1"/>
  <c r="L247" i="19" s="1"/>
  <c r="L246" i="19" s="1"/>
  <c r="L245" i="19" s="1"/>
  <c r="L243" i="19"/>
  <c r="L237" i="19"/>
  <c r="L236" i="19" s="1"/>
  <c r="L235" i="19" s="1"/>
  <c r="L234" i="19" s="1"/>
  <c r="L233" i="19"/>
  <c r="L232" i="19" s="1"/>
  <c r="L231" i="19" s="1"/>
  <c r="L230" i="19"/>
  <c r="L229" i="19" s="1"/>
  <c r="L228" i="19" s="1"/>
  <c r="L227" i="19"/>
  <c r="L226" i="19" s="1"/>
  <c r="L225" i="19"/>
  <c r="L224" i="19"/>
  <c r="L221" i="19"/>
  <c r="L220" i="19"/>
  <c r="L215" i="19"/>
  <c r="L214" i="19" s="1"/>
  <c r="L213" i="19" s="1"/>
  <c r="L212" i="19" s="1"/>
  <c r="L206" i="19"/>
  <c r="L205" i="19"/>
  <c r="L196" i="19"/>
  <c r="L195" i="19" s="1"/>
  <c r="L194" i="19" s="1"/>
  <c r="L193" i="19" s="1"/>
  <c r="L192" i="19" s="1"/>
  <c r="L191" i="19" s="1"/>
  <c r="L190" i="19" s="1"/>
  <c r="L189" i="19"/>
  <c r="L188" i="19" s="1"/>
  <c r="L187" i="19" s="1"/>
  <c r="L186" i="19" s="1"/>
  <c r="L185" i="19" s="1"/>
  <c r="L184" i="19" s="1"/>
  <c r="L183" i="19" s="1"/>
  <c r="L182" i="19"/>
  <c r="L181" i="19" s="1"/>
  <c r="L180" i="19" s="1"/>
  <c r="L179" i="19"/>
  <c r="L178" i="19" s="1"/>
  <c r="L177" i="19" s="1"/>
  <c r="L173" i="19"/>
  <c r="L172" i="19"/>
  <c r="L162" i="19"/>
  <c r="L161" i="19" s="1"/>
  <c r="L160" i="19" s="1"/>
  <c r="L159" i="19" s="1"/>
  <c r="L158" i="19" s="1"/>
  <c r="L157" i="19" s="1"/>
  <c r="L156" i="19"/>
  <c r="L155" i="19" s="1"/>
  <c r="L154" i="19" s="1"/>
  <c r="L153" i="19" s="1"/>
  <c r="L152" i="19" s="1"/>
  <c r="L151" i="19" s="1"/>
  <c r="L149" i="19"/>
  <c r="L148" i="19" s="1"/>
  <c r="L147" i="19" s="1"/>
  <c r="L146" i="19" s="1"/>
  <c r="L145" i="19" s="1"/>
  <c r="L144" i="19" s="1"/>
  <c r="L143" i="19" s="1"/>
  <c r="L142" i="19"/>
  <c r="L141" i="19" s="1"/>
  <c r="L140" i="19" s="1"/>
  <c r="L139" i="19" s="1"/>
  <c r="L138" i="19" s="1"/>
  <c r="L137" i="19"/>
  <c r="L136" i="19" s="1"/>
  <c r="L135" i="19" s="1"/>
  <c r="L134" i="19" s="1"/>
  <c r="L133" i="19"/>
  <c r="L132" i="19" s="1"/>
  <c r="L131" i="19" s="1"/>
  <c r="L130" i="19" s="1"/>
  <c r="L127" i="19"/>
  <c r="L126" i="19" s="1"/>
  <c r="L125" i="19" s="1"/>
  <c r="L124" i="19" s="1"/>
  <c r="L123" i="19" s="1"/>
  <c r="L122" i="19" s="1"/>
  <c r="L121" i="19"/>
  <c r="L120" i="19" s="1"/>
  <c r="L119" i="19" s="1"/>
  <c r="L118" i="19"/>
  <c r="L117" i="19" s="1"/>
  <c r="L116" i="19" s="1"/>
  <c r="L111" i="19"/>
  <c r="L110" i="19" s="1"/>
  <c r="L109" i="19" s="1"/>
  <c r="L108" i="19" s="1"/>
  <c r="L107" i="19"/>
  <c r="L106" i="19"/>
  <c r="L105" i="19"/>
  <c r="L101" i="19"/>
  <c r="L100" i="19" s="1"/>
  <c r="L99" i="19" s="1"/>
  <c r="L98" i="19"/>
  <c r="L97" i="19" s="1"/>
  <c r="L96" i="19" s="1"/>
  <c r="L92" i="19"/>
  <c r="L91" i="19" s="1"/>
  <c r="L90" i="19"/>
  <c r="L89" i="19" s="1"/>
  <c r="L83" i="19"/>
  <c r="L82" i="19"/>
  <c r="L81" i="19"/>
  <c r="L78" i="19"/>
  <c r="L77" i="19" s="1"/>
  <c r="L76" i="19"/>
  <c r="L75" i="19" s="1"/>
  <c r="L73" i="19"/>
  <c r="L72" i="19"/>
  <c r="L69" i="19"/>
  <c r="L68" i="19" s="1"/>
  <c r="L67" i="19" s="1"/>
  <c r="L64" i="19"/>
  <c r="L63" i="19" s="1"/>
  <c r="L62" i="19" s="1"/>
  <c r="L61" i="19" s="1"/>
  <c r="L60" i="19" s="1"/>
  <c r="L48" i="19"/>
  <c r="L47" i="19" s="1"/>
  <c r="L46" i="19" s="1"/>
  <c r="L45" i="19" s="1"/>
  <c r="L44" i="19" s="1"/>
  <c r="L43" i="19" s="1"/>
  <c r="L42" i="19"/>
  <c r="L41" i="19"/>
  <c r="L39" i="19"/>
  <c r="L38" i="19"/>
  <c r="L36" i="19"/>
  <c r="L35" i="19" s="1"/>
  <c r="L34" i="19"/>
  <c r="L33" i="19" s="1"/>
  <c r="L32" i="19"/>
  <c r="L31" i="19"/>
  <c r="L30" i="19"/>
  <c r="L24" i="19"/>
  <c r="L23" i="19" s="1"/>
  <c r="L22" i="19" s="1"/>
  <c r="L21" i="19" s="1"/>
  <c r="L20" i="19" s="1"/>
  <c r="L19" i="19" s="1"/>
  <c r="L491" i="19"/>
  <c r="L550" i="19" l="1"/>
  <c r="L566" i="19"/>
  <c r="L563" i="19"/>
  <c r="L71" i="19"/>
  <c r="L70" i="19" s="1"/>
  <c r="L317" i="19"/>
  <c r="L322" i="19"/>
  <c r="L553" i="19"/>
  <c r="L485" i="19"/>
  <c r="L484" i="19" s="1"/>
  <c r="L483" i="19" s="1"/>
  <c r="L478" i="19" s="1"/>
  <c r="L477" i="19" s="1"/>
  <c r="L542" i="19"/>
  <c r="L560" i="19"/>
  <c r="L40" i="19"/>
  <c r="L303" i="19"/>
  <c r="L333" i="19"/>
  <c r="L332" i="19" s="1"/>
  <c r="L381" i="19"/>
  <c r="L380" i="19" s="1"/>
  <c r="L379" i="19" s="1"/>
  <c r="L378" i="19" s="1"/>
  <c r="L377" i="19" s="1"/>
  <c r="L376" i="19" s="1"/>
  <c r="L37" i="19"/>
  <c r="L298" i="19"/>
  <c r="L306" i="19"/>
  <c r="L350" i="19"/>
  <c r="L389" i="19"/>
  <c r="L388" i="19" s="1"/>
  <c r="L387" i="19" s="1"/>
  <c r="L386" i="19" s="1"/>
  <c r="L385" i="19" s="1"/>
  <c r="L384" i="19" s="1"/>
  <c r="L129" i="19"/>
  <c r="L128" i="19" s="1"/>
  <c r="L328" i="19"/>
  <c r="L370" i="19"/>
  <c r="L29" i="19"/>
  <c r="L408" i="19"/>
  <c r="L407" i="19" s="1"/>
  <c r="L406" i="19" s="1"/>
  <c r="L405" i="19" s="1"/>
  <c r="L404" i="19" s="1"/>
  <c r="L545" i="19"/>
  <c r="L523" i="19"/>
  <c r="L522" i="19" s="1"/>
  <c r="L521" i="19" s="1"/>
  <c r="L520" i="19" s="1"/>
  <c r="L519" i="19" s="1"/>
  <c r="L508" i="19"/>
  <c r="L507" i="19" s="1"/>
  <c r="L506" i="19" s="1"/>
  <c r="L505" i="19" s="1"/>
  <c r="L499" i="19"/>
  <c r="L498" i="19" s="1"/>
  <c r="L497" i="19" s="1"/>
  <c r="L496" i="19" s="1"/>
  <c r="L495" i="19" s="1"/>
  <c r="L465" i="19"/>
  <c r="L464" i="19" s="1"/>
  <c r="L463" i="19" s="1"/>
  <c r="L462" i="19" s="1"/>
  <c r="L461" i="19" s="1"/>
  <c r="L447" i="19"/>
  <c r="L443" i="19"/>
  <c r="L365" i="19"/>
  <c r="L361" i="19"/>
  <c r="L313" i="19"/>
  <c r="L309" i="19"/>
  <c r="L285" i="19"/>
  <c r="L284" i="19" s="1"/>
  <c r="L283" i="19" s="1"/>
  <c r="L282" i="19" s="1"/>
  <c r="L261" i="19"/>
  <c r="L260" i="19" s="1"/>
  <c r="L259" i="19" s="1"/>
  <c r="L258" i="19" s="1"/>
  <c r="L257" i="19" s="1"/>
  <c r="L115" i="19"/>
  <c r="L114" i="19" s="1"/>
  <c r="L113" i="19" s="1"/>
  <c r="L104" i="19"/>
  <c r="L103" i="19" s="1"/>
  <c r="L102" i="19" s="1"/>
  <c r="L95" i="19"/>
  <c r="L88" i="19"/>
  <c r="L87" i="19" s="1"/>
  <c r="L86" i="19" s="1"/>
  <c r="L85" i="19" s="1"/>
  <c r="L80" i="19"/>
  <c r="L79" i="19" s="1"/>
  <c r="L271" i="19"/>
  <c r="L270" i="19" s="1"/>
  <c r="L269" i="19" s="1"/>
  <c r="L268" i="19" s="1"/>
  <c r="L74" i="19"/>
  <c r="L176" i="19"/>
  <c r="L175" i="19" s="1"/>
  <c r="L174" i="19" s="1"/>
  <c r="L150" i="19"/>
  <c r="L244" i="19"/>
  <c r="L297" i="19" l="1"/>
  <c r="L296" i="19" s="1"/>
  <c r="L295" i="19" s="1"/>
  <c r="L294" i="19" s="1"/>
  <c r="L541" i="19"/>
  <c r="L540" i="19" s="1"/>
  <c r="L539" i="19" s="1"/>
  <c r="L538" i="19" s="1"/>
  <c r="L559" i="19"/>
  <c r="L558" i="19" s="1"/>
  <c r="L557" i="19" s="1"/>
  <c r="L556" i="19" s="1"/>
  <c r="L28" i="19"/>
  <c r="L27" i="19" s="1"/>
  <c r="L26" i="19" s="1"/>
  <c r="L25" i="19" s="1"/>
  <c r="L442" i="19"/>
  <c r="L441" i="19" s="1"/>
  <c r="L440" i="19" s="1"/>
  <c r="L439" i="19" s="1"/>
  <c r="L112" i="19"/>
  <c r="L360" i="19"/>
  <c r="L359" i="19" s="1"/>
  <c r="L358" i="19" s="1"/>
  <c r="L357" i="19" s="1"/>
  <c r="L460" i="19"/>
  <c r="L452" i="19" s="1"/>
  <c r="L94" i="19"/>
  <c r="L93" i="19" s="1"/>
  <c r="L84" i="19" s="1"/>
  <c r="L66" i="19"/>
  <c r="L65" i="19" s="1"/>
  <c r="L54" i="19" s="1"/>
  <c r="L537" i="19" l="1"/>
  <c r="L536" i="19" s="1"/>
  <c r="M601" i="3"/>
  <c r="I79" i="18" l="1"/>
  <c r="H79" i="18"/>
  <c r="H85" i="18"/>
  <c r="H84" i="18"/>
  <c r="M350" i="19"/>
  <c r="M393" i="19"/>
  <c r="N346" i="19"/>
  <c r="M346" i="19"/>
  <c r="H83" i="18" l="1"/>
  <c r="N393" i="19"/>
  <c r="N350" i="19"/>
  <c r="I85" i="18"/>
  <c r="I84" i="18"/>
  <c r="I83" i="18" l="1"/>
  <c r="H96" i="7"/>
  <c r="H102" i="7"/>
  <c r="H101" i="7"/>
  <c r="M553" i="3"/>
  <c r="M492" i="3"/>
  <c r="L494" i="3"/>
  <c r="L493" i="3"/>
  <c r="L492" i="3" s="1"/>
  <c r="H100" i="7" l="1"/>
  <c r="C34" i="5"/>
  <c r="E26" i="5"/>
  <c r="E25" i="5" s="1"/>
  <c r="D26" i="5"/>
  <c r="D25" i="5" s="1"/>
  <c r="C26" i="5"/>
  <c r="C25" i="5" s="1"/>
  <c r="C19" i="5"/>
  <c r="I77" i="18" l="1"/>
  <c r="H77" i="18"/>
  <c r="I76" i="18"/>
  <c r="H76" i="18"/>
  <c r="I75" i="18"/>
  <c r="H75" i="18"/>
  <c r="I74" i="18"/>
  <c r="H74" i="18"/>
  <c r="N344" i="19"/>
  <c r="M344" i="19"/>
  <c r="N389" i="19"/>
  <c r="M389" i="19"/>
  <c r="H92" i="7"/>
  <c r="H91" i="7"/>
  <c r="M484" i="3"/>
  <c r="K775" i="3"/>
  <c r="K777" i="3"/>
  <c r="K786" i="3"/>
  <c r="K808" i="3"/>
  <c r="K820" i="3"/>
  <c r="K821" i="3" s="1"/>
  <c r="K817" i="3"/>
  <c r="H90" i="7"/>
  <c r="M549" i="3" l="1"/>
  <c r="M548" i="3" s="1"/>
  <c r="L550" i="3"/>
  <c r="M388" i="19"/>
  <c r="M387" i="19" s="1"/>
  <c r="M386" i="19" s="1"/>
  <c r="M385" i="19" s="1"/>
  <c r="M384" i="19" s="1"/>
  <c r="H89" i="7"/>
  <c r="N388" i="19"/>
  <c r="N387" i="19" s="1"/>
  <c r="N386" i="19" s="1"/>
  <c r="N385" i="19" s="1"/>
  <c r="N384" i="19" s="1"/>
  <c r="K823" i="3"/>
  <c r="K826" i="3" s="1"/>
  <c r="K800" i="3"/>
  <c r="K782" i="3"/>
  <c r="K805" i="3"/>
  <c r="K814" i="3"/>
  <c r="K785" i="3"/>
  <c r="K774" i="3"/>
  <c r="K796" i="3"/>
  <c r="K781" i="3"/>
  <c r="K815" i="3"/>
  <c r="K811" i="3"/>
  <c r="K799" i="3"/>
  <c r="K773" i="3"/>
  <c r="K793" i="3"/>
  <c r="K791" i="3"/>
  <c r="N570" i="19"/>
  <c r="M570" i="19"/>
  <c r="L570" i="19" s="1"/>
  <c r="L569" i="19" s="1"/>
  <c r="K804" i="3" l="1"/>
  <c r="K806" i="3" s="1"/>
  <c r="K776" i="3"/>
  <c r="K787" i="3"/>
  <c r="K788" i="3" s="1"/>
  <c r="K783" i="3"/>
  <c r="K794" i="3"/>
  <c r="K798" i="3"/>
  <c r="K816" i="3"/>
  <c r="K818" i="3" s="1"/>
  <c r="K797" i="3"/>
  <c r="K810" i="3"/>
  <c r="K812" i="3" s="1"/>
  <c r="D55" i="16"/>
  <c r="C55" i="16"/>
  <c r="I70" i="18"/>
  <c r="H70" i="18"/>
  <c r="I69" i="18"/>
  <c r="H69" i="18"/>
  <c r="N333" i="19"/>
  <c r="N332" i="19" s="1"/>
  <c r="M333" i="19"/>
  <c r="M332" i="19" s="1"/>
  <c r="K801" i="3" l="1"/>
  <c r="K802" i="3" s="1"/>
  <c r="K778" i="3"/>
  <c r="K779" i="3" s="1"/>
  <c r="H68" i="18"/>
  <c r="H67" i="18" s="1"/>
  <c r="I68" i="18"/>
  <c r="I67" i="18" s="1"/>
  <c r="C67" i="2"/>
  <c r="H85" i="7"/>
  <c r="H84" i="7"/>
  <c r="M473" i="3"/>
  <c r="M472" i="3" s="1"/>
  <c r="L475" i="3"/>
  <c r="L474" i="3"/>
  <c r="K827" i="3" l="1"/>
  <c r="H83" i="7"/>
  <c r="H82" i="7" s="1"/>
  <c r="L473" i="3"/>
  <c r="L472" i="3" s="1"/>
  <c r="M461" i="3"/>
  <c r="M462" i="3"/>
  <c r="M525" i="3" l="1"/>
  <c r="M521" i="3"/>
  <c r="M515" i="3" l="1"/>
  <c r="N532" i="19" l="1"/>
  <c r="M532" i="19"/>
  <c r="L532" i="19" s="1"/>
  <c r="L531" i="19" s="1"/>
  <c r="L530" i="19" s="1"/>
  <c r="L529" i="19" s="1"/>
  <c r="L528" i="19" s="1"/>
  <c r="L527" i="19" s="1"/>
  <c r="L518" i="19" s="1"/>
  <c r="L504" i="19" s="1"/>
  <c r="M728" i="3"/>
  <c r="N204" i="19"/>
  <c r="M204" i="19"/>
  <c r="L204" i="19" s="1"/>
  <c r="L203" i="19" s="1"/>
  <c r="L202" i="19" s="1"/>
  <c r="L201" i="19" s="1"/>
  <c r="L200" i="19" s="1"/>
  <c r="L199" i="19" s="1"/>
  <c r="L198" i="19" s="1"/>
  <c r="N171" i="19"/>
  <c r="M171" i="19"/>
  <c r="L171" i="19" s="1"/>
  <c r="L170" i="19" s="1"/>
  <c r="L169" i="19" s="1"/>
  <c r="L168" i="19" s="1"/>
  <c r="L167" i="19" s="1"/>
  <c r="L166" i="19" s="1"/>
  <c r="L165" i="19" s="1"/>
  <c r="L164" i="19" s="1"/>
  <c r="M226" i="3"/>
  <c r="H519" i="7"/>
  <c r="H518" i="7" s="1"/>
  <c r="M88" i="3"/>
  <c r="L89" i="3"/>
  <c r="L88" i="3" s="1"/>
  <c r="M79" i="3" l="1"/>
  <c r="N53" i="19"/>
  <c r="M53" i="19"/>
  <c r="L53" i="19" s="1"/>
  <c r="L52" i="19" s="1"/>
  <c r="L51" i="19" s="1"/>
  <c r="L50" i="19" s="1"/>
  <c r="L49" i="19" s="1"/>
  <c r="L18" i="19" s="1"/>
  <c r="L17" i="19" s="1"/>
  <c r="N219" i="19" l="1"/>
  <c r="M219" i="19"/>
  <c r="L219" i="19" s="1"/>
  <c r="L218" i="19" s="1"/>
  <c r="M100" i="3" l="1"/>
  <c r="M112" i="3"/>
  <c r="M314" i="3"/>
  <c r="L315" i="3"/>
  <c r="N242" i="19" l="1"/>
  <c r="M242" i="19"/>
  <c r="L242" i="19" s="1"/>
  <c r="L241" i="19" s="1"/>
  <c r="L240" i="19" s="1"/>
  <c r="L239" i="19" s="1"/>
  <c r="L238" i="19" s="1"/>
  <c r="N223" i="19"/>
  <c r="M223" i="19"/>
  <c r="L223" i="19" s="1"/>
  <c r="L222" i="19" s="1"/>
  <c r="L217" i="19" s="1"/>
  <c r="L216" i="19" s="1"/>
  <c r="L211" i="19" s="1"/>
  <c r="M489" i="3"/>
  <c r="M488" i="3" s="1"/>
  <c r="M608" i="3"/>
  <c r="M653" i="3"/>
  <c r="L210" i="19" l="1"/>
  <c r="L209" i="19" s="1"/>
  <c r="L208" i="19" s="1"/>
  <c r="M345" i="3"/>
  <c r="M429" i="19" l="1"/>
  <c r="L429" i="19" s="1"/>
  <c r="L428" i="19" s="1"/>
  <c r="M605" i="3" l="1"/>
  <c r="L49" i="3" l="1"/>
  <c r="C35" i="2"/>
  <c r="N425" i="19" l="1"/>
  <c r="M425" i="19"/>
  <c r="L425" i="19" s="1"/>
  <c r="L424" i="19" s="1"/>
  <c r="M427" i="19"/>
  <c r="L427" i="19" s="1"/>
  <c r="L426" i="19" s="1"/>
  <c r="N429" i="19"/>
  <c r="M581" i="3"/>
  <c r="H163" i="7" s="1"/>
  <c r="L423" i="19" l="1"/>
  <c r="L422" i="19" s="1"/>
  <c r="H162" i="7"/>
  <c r="M580" i="3"/>
  <c r="L581" i="3"/>
  <c r="L580" i="3" s="1"/>
  <c r="L764" i="3" l="1"/>
  <c r="L763" i="3"/>
  <c r="L761" i="3"/>
  <c r="L760" i="3"/>
  <c r="L758" i="3"/>
  <c r="L757" i="3"/>
  <c r="L751" i="3"/>
  <c r="L750" i="3"/>
  <c r="L748" i="3"/>
  <c r="L747" i="3"/>
  <c r="L743" i="3"/>
  <c r="L742" i="3"/>
  <c r="L740" i="3"/>
  <c r="L739" i="3"/>
  <c r="L730" i="3"/>
  <c r="L729" i="3"/>
  <c r="L728" i="3"/>
  <c r="L722" i="3"/>
  <c r="L721" i="3" s="1"/>
  <c r="L720" i="3"/>
  <c r="L719" i="3"/>
  <c r="L718" i="3"/>
  <c r="L711" i="3"/>
  <c r="L710" i="3" s="1"/>
  <c r="L709" i="3" s="1"/>
  <c r="L708" i="3"/>
  <c r="L707" i="3" s="1"/>
  <c r="L706" i="3" s="1"/>
  <c r="L705" i="3"/>
  <c r="L704" i="3" s="1"/>
  <c r="L703" i="3" s="1"/>
  <c r="L702" i="3"/>
  <c r="L701" i="3" s="1"/>
  <c r="L700" i="3" s="1"/>
  <c r="L693" i="3"/>
  <c r="L692" i="3"/>
  <c r="L691" i="3"/>
  <c r="L685" i="3"/>
  <c r="L684" i="3" s="1"/>
  <c r="L683" i="3"/>
  <c r="L682" i="3" s="1"/>
  <c r="L681" i="3"/>
  <c r="L680" i="3" s="1"/>
  <c r="L679" i="3"/>
  <c r="L678" i="3"/>
  <c r="L677" i="3"/>
  <c r="L673" i="3"/>
  <c r="L672" i="3" s="1"/>
  <c r="L671" i="3" s="1"/>
  <c r="L670" i="3" s="1"/>
  <c r="L661" i="3"/>
  <c r="L660" i="3" s="1"/>
  <c r="L659" i="3" s="1"/>
  <c r="L658" i="3" s="1"/>
  <c r="L655" i="3"/>
  <c r="L654" i="3" s="1"/>
  <c r="L653" i="3"/>
  <c r="L652" i="3"/>
  <c r="L651" i="3"/>
  <c r="L644" i="3"/>
  <c r="L643" i="3" s="1"/>
  <c r="L642" i="3" s="1"/>
  <c r="L641" i="3" s="1"/>
  <c r="L640" i="3" s="1"/>
  <c r="L639" i="3" s="1"/>
  <c r="L638" i="3" s="1"/>
  <c r="L635" i="3"/>
  <c r="L634" i="3"/>
  <c r="L633" i="3"/>
  <c r="L631" i="3"/>
  <c r="L630" i="3"/>
  <c r="L629" i="3"/>
  <c r="L625" i="3"/>
  <c r="L624" i="3" s="1"/>
  <c r="L623" i="3" s="1"/>
  <c r="L622" i="3" s="1"/>
  <c r="L617" i="3"/>
  <c r="L616" i="3"/>
  <c r="L610" i="3"/>
  <c r="L609" i="3"/>
  <c r="L608" i="3"/>
  <c r="L605" i="3"/>
  <c r="L604" i="3" s="1"/>
  <c r="L603" i="3"/>
  <c r="L602" i="3" s="1"/>
  <c r="L601" i="3"/>
  <c r="L600" i="3" s="1"/>
  <c r="L599" i="3"/>
  <c r="L598" i="3" s="1"/>
  <c r="L597" i="3"/>
  <c r="L596" i="3" s="1"/>
  <c r="L590" i="3"/>
  <c r="L589" i="3" s="1"/>
  <c r="L588" i="3" s="1"/>
  <c r="L587" i="3"/>
  <c r="L586" i="3" s="1"/>
  <c r="L585" i="3" s="1"/>
  <c r="L577" i="3"/>
  <c r="L576" i="3" s="1"/>
  <c r="L575" i="3"/>
  <c r="L574" i="3" s="1"/>
  <c r="L573" i="3"/>
  <c r="L572" i="3" s="1"/>
  <c r="L566" i="3"/>
  <c r="L565" i="3" s="1"/>
  <c r="L564" i="3" s="1"/>
  <c r="L563" i="3"/>
  <c r="L562" i="3" s="1"/>
  <c r="L561" i="3" s="1"/>
  <c r="L543" i="3"/>
  <c r="L542" i="3"/>
  <c r="L535" i="3"/>
  <c r="L534" i="3" s="1"/>
  <c r="L533" i="3"/>
  <c r="L532" i="3" s="1"/>
  <c r="L530" i="3"/>
  <c r="L529" i="3"/>
  <c r="L525" i="3"/>
  <c r="L524" i="3"/>
  <c r="L522" i="3"/>
  <c r="L521" i="3"/>
  <c r="L520" i="3"/>
  <c r="L519" i="3"/>
  <c r="L517" i="3"/>
  <c r="L516" i="3"/>
  <c r="L515" i="3"/>
  <c r="L511" i="3"/>
  <c r="L510" i="3" s="1"/>
  <c r="L509" i="3" s="1"/>
  <c r="L508" i="3" s="1"/>
  <c r="L505" i="3"/>
  <c r="L504" i="3" s="1"/>
  <c r="L503" i="3" s="1"/>
  <c r="L502" i="3" s="1"/>
  <c r="L501" i="3" s="1"/>
  <c r="L500" i="3" s="1"/>
  <c r="L499" i="3"/>
  <c r="L498" i="3"/>
  <c r="L496" i="3"/>
  <c r="L495" i="3" s="1"/>
  <c r="L491" i="3"/>
  <c r="L490" i="3" s="1"/>
  <c r="L489" i="3"/>
  <c r="L488" i="3" s="1"/>
  <c r="L487" i="3"/>
  <c r="L486" i="3" s="1"/>
  <c r="L485" i="3"/>
  <c r="L484" i="3" s="1"/>
  <c r="L479" i="3"/>
  <c r="L478" i="3" s="1"/>
  <c r="L477" i="3" s="1"/>
  <c r="L476" i="3" s="1"/>
  <c r="L471" i="3"/>
  <c r="L470" i="3"/>
  <c r="L469" i="3"/>
  <c r="L467" i="3"/>
  <c r="L466" i="3" s="1"/>
  <c r="L462" i="3"/>
  <c r="L461" i="3"/>
  <c r="L459" i="3"/>
  <c r="L458" i="3" s="1"/>
  <c r="L455" i="3"/>
  <c r="L454" i="3"/>
  <c r="L452" i="3"/>
  <c r="L451" i="3"/>
  <c r="L450" i="3"/>
  <c r="L448" i="3"/>
  <c r="L447" i="3"/>
  <c r="L446" i="3"/>
  <c r="L465" i="3"/>
  <c r="L464" i="3"/>
  <c r="L444" i="3"/>
  <c r="L443" i="3" s="1"/>
  <c r="L442" i="3"/>
  <c r="L441" i="3"/>
  <c r="L439" i="3"/>
  <c r="L438" i="3"/>
  <c r="L436" i="3"/>
  <c r="L434" i="3" s="1"/>
  <c r="L433" i="3"/>
  <c r="L432" i="3"/>
  <c r="L431" i="3"/>
  <c r="L430" i="3"/>
  <c r="L424" i="3"/>
  <c r="L423" i="3" s="1"/>
  <c r="L422" i="3" s="1"/>
  <c r="L421" i="3" s="1"/>
  <c r="L420" i="3" s="1"/>
  <c r="L419" i="3"/>
  <c r="L418" i="3" s="1"/>
  <c r="L417" i="3"/>
  <c r="L416" i="3" s="1"/>
  <c r="L415" i="3"/>
  <c r="L414" i="3" s="1"/>
  <c r="L413" i="3"/>
  <c r="L412" i="3" s="1"/>
  <c r="L411" i="3"/>
  <c r="L410" i="3" s="1"/>
  <c r="L409" i="3"/>
  <c r="L408" i="3" s="1"/>
  <c r="L402" i="3"/>
  <c r="L401" i="3" s="1"/>
  <c r="L400" i="3" s="1"/>
  <c r="L399" i="3"/>
  <c r="L398" i="3" s="1"/>
  <c r="L397" i="3" s="1"/>
  <c r="L396" i="3"/>
  <c r="L395" i="3" s="1"/>
  <c r="L394" i="3" s="1"/>
  <c r="L393" i="3"/>
  <c r="L392" i="3" s="1"/>
  <c r="L391" i="3" s="1"/>
  <c r="L384" i="3"/>
  <c r="L383" i="3" s="1"/>
  <c r="L382" i="3" s="1"/>
  <c r="L381" i="3" s="1"/>
  <c r="L380" i="3" s="1"/>
  <c r="L379" i="3" s="1"/>
  <c r="L378" i="3" s="1"/>
  <c r="L377" i="3"/>
  <c r="L376" i="3" s="1"/>
  <c r="L375" i="3"/>
  <c r="L374" i="3" s="1"/>
  <c r="L368" i="3"/>
  <c r="L367" i="3" s="1"/>
  <c r="L366" i="3" s="1"/>
  <c r="L365" i="3" s="1"/>
  <c r="L364" i="3" s="1"/>
  <c r="L363" i="3" s="1"/>
  <c r="L362" i="3"/>
  <c r="L361" i="3" s="1"/>
  <c r="L345" i="3"/>
  <c r="L344" i="3" s="1"/>
  <c r="L343" i="3" s="1"/>
  <c r="L342" i="3" s="1"/>
  <c r="L341" i="3" s="1"/>
  <c r="L340" i="3" s="1"/>
  <c r="L334" i="3"/>
  <c r="L333" i="3" s="1"/>
  <c r="L332" i="3" s="1"/>
  <c r="L331" i="3" s="1"/>
  <c r="L327" i="3"/>
  <c r="L326" i="3"/>
  <c r="L321" i="3"/>
  <c r="L320" i="3" s="1"/>
  <c r="L319" i="3" s="1"/>
  <c r="L318" i="3" s="1"/>
  <c r="L317" i="3" s="1"/>
  <c r="L316" i="3"/>
  <c r="L311" i="3"/>
  <c r="L310" i="3" s="1"/>
  <c r="L309" i="3" s="1"/>
  <c r="L308" i="3"/>
  <c r="L307" i="3" s="1"/>
  <c r="L306" i="3" s="1"/>
  <c r="L305" i="3"/>
  <c r="L304" i="3" s="1"/>
  <c r="L303" i="3"/>
  <c r="L302" i="3"/>
  <c r="L301" i="3"/>
  <c r="L299" i="3"/>
  <c r="L298" i="3"/>
  <c r="L297" i="3"/>
  <c r="L293" i="3"/>
  <c r="L292" i="3" s="1"/>
  <c r="L291" i="3" s="1"/>
  <c r="L290" i="3"/>
  <c r="L289" i="3" s="1"/>
  <c r="L288" i="3" s="1"/>
  <c r="L281" i="3"/>
  <c r="L280" i="3" s="1"/>
  <c r="L279" i="3" s="1"/>
  <c r="L278" i="3" s="1"/>
  <c r="L277" i="3" s="1"/>
  <c r="L276" i="3" s="1"/>
  <c r="L275" i="3"/>
  <c r="L274" i="3" s="1"/>
  <c r="L273" i="3"/>
  <c r="L272" i="3"/>
  <c r="L271" i="3"/>
  <c r="L257" i="3"/>
  <c r="L256" i="3" s="1"/>
  <c r="L255" i="3" s="1"/>
  <c r="L254" i="3" s="1"/>
  <c r="L253" i="3" s="1"/>
  <c r="L252" i="3" s="1"/>
  <c r="L251" i="3" s="1"/>
  <c r="L250" i="3"/>
  <c r="L249" i="3" s="1"/>
  <c r="L248" i="3" s="1"/>
  <c r="L247" i="3" s="1"/>
  <c r="L246" i="3" s="1"/>
  <c r="L245" i="3" s="1"/>
  <c r="L244" i="3" s="1"/>
  <c r="L243" i="3"/>
  <c r="L242" i="3" s="1"/>
  <c r="L241" i="3" s="1"/>
  <c r="L240" i="3"/>
  <c r="L239" i="3" s="1"/>
  <c r="L238" i="3" s="1"/>
  <c r="L237" i="3"/>
  <c r="L236" i="3" s="1"/>
  <c r="L235" i="3" s="1"/>
  <c r="L231" i="3"/>
  <c r="L230" i="3" s="1"/>
  <c r="L229" i="3" s="1"/>
  <c r="L228" i="3"/>
  <c r="L226" i="3"/>
  <c r="L206" i="3"/>
  <c r="L205" i="3" s="1"/>
  <c r="L204" i="3" s="1"/>
  <c r="L203" i="3" s="1"/>
  <c r="L202" i="3" s="1"/>
  <c r="L201" i="3" s="1"/>
  <c r="L200" i="3" s="1"/>
  <c r="L820" i="3" s="1"/>
  <c r="L821" i="3" s="1"/>
  <c r="L199" i="3"/>
  <c r="L198" i="3" s="1"/>
  <c r="L197" i="3" s="1"/>
  <c r="L196" i="3" s="1"/>
  <c r="L195" i="3" s="1"/>
  <c r="L194" i="3" s="1"/>
  <c r="L187" i="3"/>
  <c r="L186" i="3" s="1"/>
  <c r="L185" i="3" s="1"/>
  <c r="L184" i="3" s="1"/>
  <c r="L183" i="3" s="1"/>
  <c r="L182" i="3" s="1"/>
  <c r="L177" i="3"/>
  <c r="L176" i="3" s="1"/>
  <c r="L175" i="3" s="1"/>
  <c r="L170" i="3"/>
  <c r="L169" i="3" s="1"/>
  <c r="L168" i="3" s="1"/>
  <c r="L167" i="3" s="1"/>
  <c r="L166" i="3" s="1"/>
  <c r="L165" i="3" s="1"/>
  <c r="L158" i="3"/>
  <c r="L157" i="3" s="1"/>
  <c r="L156" i="3" s="1"/>
  <c r="L155" i="3" s="1"/>
  <c r="L154" i="3" s="1"/>
  <c r="L153" i="3"/>
  <c r="L152" i="3" s="1"/>
  <c r="L151" i="3" s="1"/>
  <c r="L150" i="3" s="1"/>
  <c r="L149" i="3"/>
  <c r="L148" i="3" s="1"/>
  <c r="L147" i="3" s="1"/>
  <c r="L146" i="3" s="1"/>
  <c r="L143" i="3"/>
  <c r="L142" i="3" s="1"/>
  <c r="L141" i="3" s="1"/>
  <c r="L140" i="3" s="1"/>
  <c r="L139" i="3" s="1"/>
  <c r="L138" i="3" s="1"/>
  <c r="L786" i="3" s="1"/>
  <c r="L137" i="3"/>
  <c r="L136" i="3" s="1"/>
  <c r="L135" i="3" s="1"/>
  <c r="L134" i="3"/>
  <c r="L133" i="3" s="1"/>
  <c r="L132" i="3" s="1"/>
  <c r="L127" i="3"/>
  <c r="L126" i="3" s="1"/>
  <c r="L125" i="3" s="1"/>
  <c r="L124" i="3" s="1"/>
  <c r="L123" i="3"/>
  <c r="L122" i="3"/>
  <c r="L121" i="3"/>
  <c r="L117" i="3"/>
  <c r="L116" i="3" s="1"/>
  <c r="L115" i="3" s="1"/>
  <c r="L114" i="3"/>
  <c r="L113" i="3" s="1"/>
  <c r="L112" i="3"/>
  <c r="L111" i="3" s="1"/>
  <c r="L106" i="3"/>
  <c r="L105" i="3" s="1"/>
  <c r="L104" i="3"/>
  <c r="L103" i="3" s="1"/>
  <c r="L102" i="3"/>
  <c r="L101" i="3" s="1"/>
  <c r="L100" i="3"/>
  <c r="L99" i="3" s="1"/>
  <c r="L87" i="3"/>
  <c r="L86" i="3"/>
  <c r="L85" i="3"/>
  <c r="L79" i="3"/>
  <c r="L78" i="3" s="1"/>
  <c r="L77" i="3"/>
  <c r="L76" i="3" s="1"/>
  <c r="L74" i="3"/>
  <c r="L73" i="3"/>
  <c r="L70" i="3"/>
  <c r="L69" i="3" s="1"/>
  <c r="L68" i="3" s="1"/>
  <c r="L65" i="3"/>
  <c r="L64" i="3" s="1"/>
  <c r="L63" i="3" s="1"/>
  <c r="L62" i="3" s="1"/>
  <c r="L61" i="3" s="1"/>
  <c r="L54" i="3"/>
  <c r="L53" i="3" s="1"/>
  <c r="L52" i="3" s="1"/>
  <c r="L51" i="3" s="1"/>
  <c r="L50" i="3" s="1"/>
  <c r="L777" i="3" s="1"/>
  <c r="L48" i="3"/>
  <c r="L47" i="3" s="1"/>
  <c r="L46" i="3" s="1"/>
  <c r="L45" i="3" s="1"/>
  <c r="L44" i="3" s="1"/>
  <c r="L775" i="3" s="1"/>
  <c r="L40" i="3"/>
  <c r="L39" i="3"/>
  <c r="L37" i="3"/>
  <c r="L36" i="3"/>
  <c r="L34" i="3"/>
  <c r="L33" i="3" s="1"/>
  <c r="L32" i="3"/>
  <c r="L31" i="3" s="1"/>
  <c r="L30" i="3"/>
  <c r="L29" i="3"/>
  <c r="L28" i="3"/>
  <c r="L22" i="3"/>
  <c r="L808" i="3" l="1"/>
  <c r="L181" i="3"/>
  <c r="L358" i="3"/>
  <c r="L357" i="3" s="1"/>
  <c r="L356" i="3" s="1"/>
  <c r="L355" i="3" s="1"/>
  <c r="L346" i="3" s="1"/>
  <c r="L174" i="3"/>
  <c r="L173" i="3" s="1"/>
  <c r="L172" i="3" s="1"/>
  <c r="L571" i="3"/>
  <c r="L21" i="3"/>
  <c r="L20" i="3" s="1"/>
  <c r="L19" i="3" s="1"/>
  <c r="L18" i="3" s="1"/>
  <c r="L17" i="3" s="1"/>
  <c r="L773" i="3" s="1"/>
  <c r="L330" i="3"/>
  <c r="L329" i="3" s="1"/>
  <c r="L328" i="3" s="1"/>
  <c r="L741" i="3"/>
  <c r="L84" i="3"/>
  <c r="L83" i="3" s="1"/>
  <c r="L314" i="3"/>
  <c r="L313" i="3" s="1"/>
  <c r="L312" i="3" s="1"/>
  <c r="L615" i="3"/>
  <c r="L749" i="3"/>
  <c r="L35" i="3"/>
  <c r="L440" i="3"/>
  <c r="L650" i="3"/>
  <c r="L649" i="3" s="1"/>
  <c r="L648" i="3" s="1"/>
  <c r="L647" i="3" s="1"/>
  <c r="L646" i="3" s="1"/>
  <c r="L814" i="3" s="1"/>
  <c r="L717" i="3"/>
  <c r="L716" i="3" s="1"/>
  <c r="L715" i="3" s="1"/>
  <c r="L714" i="3" s="1"/>
  <c r="L713" i="3" s="1"/>
  <c r="L800" i="3" s="1"/>
  <c r="L437" i="3"/>
  <c r="L497" i="3"/>
  <c r="L523" i="3"/>
  <c r="L453" i="3"/>
  <c r="L300" i="3"/>
  <c r="L27" i="3"/>
  <c r="L270" i="3"/>
  <c r="L269" i="3" s="1"/>
  <c r="L268" i="3" s="1"/>
  <c r="L267" i="3" s="1"/>
  <c r="L266" i="3" s="1"/>
  <c r="L265" i="3" s="1"/>
  <c r="L429" i="3"/>
  <c r="L463" i="3"/>
  <c r="L528" i="3"/>
  <c r="L676" i="3"/>
  <c r="L675" i="3" s="1"/>
  <c r="L674" i="3" s="1"/>
  <c r="L669" i="3" s="1"/>
  <c r="L668" i="3" s="1"/>
  <c r="L460" i="3"/>
  <c r="L468" i="3"/>
  <c r="L514" i="3"/>
  <c r="L518" i="3"/>
  <c r="L607" i="3"/>
  <c r="L606" i="3" s="1"/>
  <c r="L628" i="3"/>
  <c r="L690" i="3"/>
  <c r="L689" i="3" s="1"/>
  <c r="L688" i="3" s="1"/>
  <c r="L687" i="3" s="1"/>
  <c r="L686" i="3" s="1"/>
  <c r="L817" i="3" s="1"/>
  <c r="L759" i="3"/>
  <c r="L296" i="3"/>
  <c r="L570" i="3"/>
  <c r="L569" i="3" s="1"/>
  <c r="L568" i="3" s="1"/>
  <c r="L445" i="3"/>
  <c r="L38" i="3"/>
  <c r="L120" i="3"/>
  <c r="L119" i="3" s="1"/>
  <c r="L118" i="3" s="1"/>
  <c r="L72" i="3"/>
  <c r="L71" i="3" s="1"/>
  <c r="L75" i="3"/>
  <c r="L727" i="3"/>
  <c r="L726" i="3" s="1"/>
  <c r="L725" i="3" s="1"/>
  <c r="L724" i="3" s="1"/>
  <c r="L723" i="3" s="1"/>
  <c r="L541" i="3"/>
  <c r="L540" i="3" s="1"/>
  <c r="L539" i="3" s="1"/>
  <c r="L538" i="3" s="1"/>
  <c r="L537" i="3" s="1"/>
  <c r="L536" i="3" s="1"/>
  <c r="L738" i="3"/>
  <c r="L325" i="3"/>
  <c r="L324" i="3" s="1"/>
  <c r="L323" i="3" s="1"/>
  <c r="L322" i="3" s="1"/>
  <c r="L449" i="3"/>
  <c r="L632" i="3"/>
  <c r="L746" i="3"/>
  <c r="L756" i="3"/>
  <c r="L762" i="3"/>
  <c r="L234" i="3"/>
  <c r="L233" i="3" s="1"/>
  <c r="L232" i="3" s="1"/>
  <c r="L531" i="3"/>
  <c r="L110" i="3"/>
  <c r="L109" i="3" s="1"/>
  <c r="L373" i="3"/>
  <c r="L372" i="3" s="1"/>
  <c r="L371" i="3" s="1"/>
  <c r="L370" i="3" s="1"/>
  <c r="L560" i="3"/>
  <c r="L559" i="3" s="1"/>
  <c r="L558" i="3" s="1"/>
  <c r="L557" i="3" s="1"/>
  <c r="L98" i="3"/>
  <c r="L97" i="3" s="1"/>
  <c r="L96" i="3" s="1"/>
  <c r="L95" i="3" s="1"/>
  <c r="L781" i="3" s="1"/>
  <c r="L145" i="3"/>
  <c r="L595" i="3"/>
  <c r="L791" i="3"/>
  <c r="L339" i="3"/>
  <c r="L823" i="3"/>
  <c r="L826" i="3" s="1"/>
  <c r="L793" i="3"/>
  <c r="L164" i="3"/>
  <c r="L287" i="3"/>
  <c r="L390" i="3"/>
  <c r="L389" i="3" s="1"/>
  <c r="L388" i="3" s="1"/>
  <c r="L387" i="3" s="1"/>
  <c r="L131" i="3"/>
  <c r="L130" i="3" s="1"/>
  <c r="L129" i="3" s="1"/>
  <c r="L584" i="3"/>
  <c r="L583" i="3" s="1"/>
  <c r="L582" i="3" s="1"/>
  <c r="L699" i="3"/>
  <c r="L698" i="3" s="1"/>
  <c r="L697" i="3" s="1"/>
  <c r="L696" i="3" s="1"/>
  <c r="L407" i="3"/>
  <c r="L406" i="3" s="1"/>
  <c r="L405" i="3" s="1"/>
  <c r="L404" i="3" s="1"/>
  <c r="L369" i="3" l="1"/>
  <c r="L171" i="3"/>
  <c r="L799" i="3"/>
  <c r="L513" i="3"/>
  <c r="L512" i="3" s="1"/>
  <c r="L507" i="3" s="1"/>
  <c r="L506" i="3" s="1"/>
  <c r="L801" i="3" s="1"/>
  <c r="L737" i="3"/>
  <c r="L736" i="3" s="1"/>
  <c r="L735" i="3" s="1"/>
  <c r="L734" i="3" s="1"/>
  <c r="L810" i="3" s="1"/>
  <c r="L428" i="3"/>
  <c r="L67" i="3"/>
  <c r="L66" i="3" s="1"/>
  <c r="L55" i="3" s="1"/>
  <c r="L627" i="3"/>
  <c r="L626" i="3" s="1"/>
  <c r="L621" i="3" s="1"/>
  <c r="L620" i="3" s="1"/>
  <c r="L805" i="3" s="1"/>
  <c r="L295" i="3"/>
  <c r="L294" i="3" s="1"/>
  <c r="L286" i="3" s="1"/>
  <c r="L285" i="3" s="1"/>
  <c r="L284" i="3" s="1"/>
  <c r="L283" i="3" s="1"/>
  <c r="L26" i="3"/>
  <c r="L108" i="3"/>
  <c r="L107" i="3" s="1"/>
  <c r="L782" i="3" s="1"/>
  <c r="L783" i="3" s="1"/>
  <c r="L594" i="3"/>
  <c r="L483" i="3"/>
  <c r="L482" i="3" s="1"/>
  <c r="L481" i="3" s="1"/>
  <c r="L480" i="3" s="1"/>
  <c r="L798" i="3" s="1"/>
  <c r="L712" i="3"/>
  <c r="L695" i="3" s="1"/>
  <c r="L567" i="3"/>
  <c r="L755" i="3"/>
  <c r="L754" i="3" s="1"/>
  <c r="L753" i="3" s="1"/>
  <c r="L752" i="3" s="1"/>
  <c r="L811" i="3" s="1"/>
  <c r="L796" i="3"/>
  <c r="L794" i="3"/>
  <c r="L785" i="3"/>
  <c r="L25" i="3" l="1"/>
  <c r="L24" i="3" s="1"/>
  <c r="L23" i="3" s="1"/>
  <c r="L427" i="3"/>
  <c r="L426" i="3" s="1"/>
  <c r="L425" i="3" s="1"/>
  <c r="L797" i="3" s="1"/>
  <c r="L802" i="3" s="1"/>
  <c r="L812" i="3"/>
  <c r="L94" i="3"/>
  <c r="L778" i="3"/>
  <c r="L733" i="3"/>
  <c r="L732" i="3" s="1"/>
  <c r="L774" i="3" l="1"/>
  <c r="L16" i="3"/>
  <c r="L403" i="3"/>
  <c r="L551" i="3" l="1"/>
  <c r="L549" i="3" l="1"/>
  <c r="L548" i="3" l="1"/>
  <c r="L547" i="3" s="1"/>
  <c r="L546" i="3" s="1"/>
  <c r="L545" i="3" s="1"/>
  <c r="L544" i="3" s="1"/>
  <c r="L386" i="3" s="1"/>
  <c r="F54" i="6"/>
  <c r="E54" i="6"/>
  <c r="L816" i="3" l="1"/>
  <c r="H268" i="7"/>
  <c r="H267" i="7" s="1"/>
  <c r="H128" i="7" l="1"/>
  <c r="H127" i="7" s="1"/>
  <c r="H506" i="7" l="1"/>
  <c r="H505" i="7" s="1"/>
  <c r="H504" i="7" s="1"/>
  <c r="M205" i="3" l="1"/>
  <c r="M204" i="3" s="1"/>
  <c r="M203" i="3" s="1"/>
  <c r="M202" i="3" s="1"/>
  <c r="M201" i="3" s="1"/>
  <c r="M200" i="3" s="1"/>
  <c r="M820" i="3" s="1"/>
  <c r="D55" i="6" s="1"/>
  <c r="D54" i="6" s="1"/>
  <c r="E31" i="8" l="1"/>
  <c r="E30" i="8" s="1"/>
  <c r="E29" i="8" s="1"/>
  <c r="D31" i="8"/>
  <c r="D30" i="8" s="1"/>
  <c r="D29" i="8" s="1"/>
  <c r="C31" i="8"/>
  <c r="C30" i="8" s="1"/>
  <c r="C29" i="8" s="1"/>
  <c r="E17" i="8"/>
  <c r="E16" i="8" s="1"/>
  <c r="E15" i="8" s="1"/>
  <c r="D17" i="8"/>
  <c r="D16" i="8" s="1"/>
  <c r="D15" i="8" s="1"/>
  <c r="C17" i="8"/>
  <c r="C15" i="8"/>
  <c r="M163" i="3" l="1"/>
  <c r="L163" i="3" s="1"/>
  <c r="L162" i="3" s="1"/>
  <c r="L161" i="3" s="1"/>
  <c r="L160" i="3" s="1"/>
  <c r="L159" i="3" s="1"/>
  <c r="L144" i="3" s="1"/>
  <c r="L787" i="3" l="1"/>
  <c r="L788" i="3" s="1"/>
  <c r="L128" i="3"/>
  <c r="L15" i="3" s="1"/>
  <c r="N436" i="19"/>
  <c r="N438" i="19"/>
  <c r="M438" i="19"/>
  <c r="L438" i="19" s="1"/>
  <c r="L437" i="19" s="1"/>
  <c r="M436" i="19" l="1"/>
  <c r="L436" i="19" s="1"/>
  <c r="L435" i="19" s="1"/>
  <c r="L434" i="19" s="1"/>
  <c r="L433" i="19" s="1"/>
  <c r="L421" i="19" s="1"/>
  <c r="L420" i="19" s="1"/>
  <c r="L419" i="19" s="1"/>
  <c r="L396" i="19" s="1"/>
  <c r="I135" i="18" l="1"/>
  <c r="I133" i="18"/>
  <c r="I132" i="18" s="1"/>
  <c r="H133" i="18"/>
  <c r="H132" i="18" s="1"/>
  <c r="H135" i="18"/>
  <c r="N428" i="19"/>
  <c r="N426" i="19"/>
  <c r="M426" i="19"/>
  <c r="M428" i="19" l="1"/>
  <c r="H206" i="7" l="1"/>
  <c r="H205" i="7" s="1"/>
  <c r="M562" i="3"/>
  <c r="M561" i="3" s="1"/>
  <c r="M619" i="3"/>
  <c r="L619" i="3" s="1"/>
  <c r="L618" i="3" s="1"/>
  <c r="L614" i="3" s="1"/>
  <c r="L613" i="3" s="1"/>
  <c r="L593" i="3" s="1"/>
  <c r="L592" i="3" s="1"/>
  <c r="L804" i="3" l="1"/>
  <c r="L806" i="3" s="1"/>
  <c r="L591" i="3"/>
  <c r="L556" i="3" s="1"/>
  <c r="E15" i="5"/>
  <c r="D15" i="5"/>
  <c r="C15" i="5"/>
  <c r="M701" i="3" l="1"/>
  <c r="M700" i="3" s="1"/>
  <c r="F33" i="6" l="1"/>
  <c r="H392" i="7" l="1"/>
  <c r="M374" i="3"/>
  <c r="I82" i="18" l="1"/>
  <c r="I81" i="18" s="1"/>
  <c r="M349" i="19"/>
  <c r="N348" i="19"/>
  <c r="M320" i="19"/>
  <c r="H75" i="7"/>
  <c r="H74" i="7" s="1"/>
  <c r="H119" i="7"/>
  <c r="H126" i="7"/>
  <c r="H125" i="7" s="1"/>
  <c r="H82" i="18" l="1"/>
  <c r="H81" i="18" s="1"/>
  <c r="L349" i="19"/>
  <c r="L348" i="19" s="1"/>
  <c r="L343" i="19" s="1"/>
  <c r="L342" i="19" s="1"/>
  <c r="L341" i="19" s="1"/>
  <c r="L340" i="19" s="1"/>
  <c r="L281" i="19" s="1"/>
  <c r="L267" i="19" s="1"/>
  <c r="L16" i="19" s="1"/>
  <c r="M348" i="19"/>
  <c r="M466" i="3"/>
  <c r="M458" i="3"/>
  <c r="M392" i="3"/>
  <c r="M391" i="3" s="1"/>
  <c r="C51" i="2" l="1"/>
  <c r="I410" i="18" l="1"/>
  <c r="H410" i="18"/>
  <c r="H390" i="18" l="1"/>
  <c r="H389" i="18" s="1"/>
  <c r="M80" i="19"/>
  <c r="N80" i="19"/>
  <c r="N69" i="19"/>
  <c r="N68" i="19" s="1"/>
  <c r="N67" i="19" s="1"/>
  <c r="M68" i="19"/>
  <c r="M67" i="19" s="1"/>
  <c r="H474" i="7"/>
  <c r="H473" i="7" s="1"/>
  <c r="M69" i="3"/>
  <c r="M68" i="3" s="1"/>
  <c r="I390" i="18" l="1"/>
  <c r="I389" i="18" s="1"/>
  <c r="M27" i="3"/>
  <c r="C26" i="16" l="1"/>
  <c r="C65" i="2"/>
  <c r="H394" i="7" l="1"/>
  <c r="H393" i="7" s="1"/>
  <c r="M376" i="3"/>
  <c r="M373" i="3" s="1"/>
  <c r="M667" i="3" l="1"/>
  <c r="L667" i="3" s="1"/>
  <c r="L666" i="3" s="1"/>
  <c r="H215" i="7"/>
  <c r="H229" i="7"/>
  <c r="H228" i="7"/>
  <c r="H227" i="7"/>
  <c r="L663" i="3" l="1"/>
  <c r="L662" i="3" s="1"/>
  <c r="L657" i="3" s="1"/>
  <c r="L656" i="3" s="1"/>
  <c r="H320" i="7"/>
  <c r="H319" i="7" s="1"/>
  <c r="L815" i="3" l="1"/>
  <c r="L818" i="3" s="1"/>
  <c r="L645" i="3"/>
  <c r="L637" i="3" s="1"/>
  <c r="C63" i="2"/>
  <c r="C55" i="2" l="1"/>
  <c r="M227" i="3" l="1"/>
  <c r="L227" i="3" s="1"/>
  <c r="L225" i="3" s="1"/>
  <c r="L224" i="3" s="1"/>
  <c r="L223" i="3" s="1"/>
  <c r="L222" i="3" s="1"/>
  <c r="L221" i="3" s="1"/>
  <c r="L776" i="3" l="1"/>
  <c r="L779" i="3" s="1"/>
  <c r="L827" i="3" s="1"/>
  <c r="L220" i="3"/>
  <c r="L219" i="3" s="1"/>
  <c r="L14" i="3" s="1"/>
  <c r="M236" i="3"/>
  <c r="M235" i="3" s="1"/>
  <c r="M504" i="3" l="1"/>
  <c r="M503" i="3" s="1"/>
  <c r="M502" i="3" s="1"/>
  <c r="M501" i="3" l="1"/>
  <c r="M500" i="3" s="1"/>
  <c r="H106" i="7" l="1"/>
  <c r="M497" i="3"/>
  <c r="H235" i="7" l="1"/>
  <c r="H234" i="7" s="1"/>
  <c r="M666" i="3"/>
  <c r="M663" i="3" l="1"/>
  <c r="M662" i="3" s="1"/>
  <c r="M523" i="3"/>
  <c r="M225" i="3" l="1"/>
  <c r="M224" i="3" s="1"/>
  <c r="M478" i="3" l="1"/>
  <c r="H509" i="7" l="1"/>
  <c r="H508" i="7" s="1"/>
  <c r="H507" i="7" s="1"/>
  <c r="M162" i="3"/>
  <c r="M161" i="3" s="1"/>
  <c r="M160" i="3" s="1"/>
  <c r="D26" i="16" l="1"/>
  <c r="I181" i="18" l="1"/>
  <c r="H181" i="18"/>
  <c r="I179" i="18"/>
  <c r="H179" i="18"/>
  <c r="I177" i="18"/>
  <c r="H177" i="18"/>
  <c r="I176" i="18"/>
  <c r="H176" i="18"/>
  <c r="I175" i="18"/>
  <c r="H175" i="18"/>
  <c r="I163" i="18"/>
  <c r="M481" i="19"/>
  <c r="M480" i="19" s="1"/>
  <c r="M479" i="19" s="1"/>
  <c r="N481" i="19"/>
  <c r="N480" i="19" s="1"/>
  <c r="N479" i="19" s="1"/>
  <c r="N493" i="19"/>
  <c r="H183" i="18"/>
  <c r="N491" i="19"/>
  <c r="M491" i="19"/>
  <c r="N489" i="19"/>
  <c r="M489" i="19"/>
  <c r="N485" i="19"/>
  <c r="M485" i="19"/>
  <c r="H237" i="7"/>
  <c r="H233" i="7"/>
  <c r="M682" i="3"/>
  <c r="M684" i="3"/>
  <c r="M680" i="3"/>
  <c r="M676" i="3"/>
  <c r="M672" i="3"/>
  <c r="M671" i="3" s="1"/>
  <c r="M670" i="3" s="1"/>
  <c r="M675" i="3" l="1"/>
  <c r="N484" i="19"/>
  <c r="N483" i="19" s="1"/>
  <c r="N478" i="19" s="1"/>
  <c r="N477" i="19" s="1"/>
  <c r="N619" i="19" s="1"/>
  <c r="M493" i="19"/>
  <c r="M484" i="19" s="1"/>
  <c r="H163" i="18"/>
  <c r="I183" i="18"/>
  <c r="F52" i="6" l="1"/>
  <c r="M483" i="19"/>
  <c r="M478" i="19" s="1"/>
  <c r="M477" i="19" s="1"/>
  <c r="M619" i="19" s="1"/>
  <c r="M674" i="3"/>
  <c r="M669" i="3" s="1"/>
  <c r="M668" i="3" s="1"/>
  <c r="E52" i="6" l="1"/>
  <c r="H534" i="7"/>
  <c r="H533" i="7" s="1"/>
  <c r="H94" i="7" l="1"/>
  <c r="H93" i="7" s="1"/>
  <c r="M486" i="3"/>
  <c r="H124" i="7" l="1"/>
  <c r="I103" i="18" l="1"/>
  <c r="H103" i="18"/>
  <c r="M370" i="19"/>
  <c r="N370" i="19"/>
  <c r="H251" i="7" l="1"/>
  <c r="H250" i="7" s="1"/>
  <c r="H249" i="7" s="1"/>
  <c r="M383" i="3"/>
  <c r="M382" i="3" s="1"/>
  <c r="M532" i="3" l="1"/>
  <c r="H133" i="7" l="1"/>
  <c r="M528" i="3" l="1"/>
  <c r="H331" i="7" l="1"/>
  <c r="H330" i="7" s="1"/>
  <c r="H329" i="7" s="1"/>
  <c r="M230" i="3" l="1"/>
  <c r="M229" i="3" s="1"/>
  <c r="H218" i="7" l="1"/>
  <c r="C28" i="8" l="1"/>
  <c r="H77" i="7" l="1"/>
  <c r="H76" i="7" s="1"/>
  <c r="M361" i="3"/>
  <c r="M358" i="3" s="1"/>
  <c r="E33" i="6" l="1"/>
  <c r="H420" i="7"/>
  <c r="H419" i="7" s="1"/>
  <c r="H418" i="7" s="1"/>
  <c r="H417" i="7" s="1"/>
  <c r="M169" i="3"/>
  <c r="M168" i="3" s="1"/>
  <c r="M167" i="3" s="1"/>
  <c r="M166" i="3" s="1"/>
  <c r="M165" i="3" s="1"/>
  <c r="M793" i="3" l="1"/>
  <c r="D33" i="6" s="1"/>
  <c r="M164" i="3"/>
  <c r="M607" i="3" l="1"/>
  <c r="M606" i="3" s="1"/>
  <c r="N431" i="19" l="1"/>
  <c r="M431" i="19"/>
  <c r="H138" i="7" l="1"/>
  <c r="H140" i="7"/>
  <c r="M365" i="19"/>
  <c r="I108" i="18"/>
  <c r="H108" i="18"/>
  <c r="N374" i="19"/>
  <c r="N373" i="19" s="1"/>
  <c r="M374" i="19"/>
  <c r="M373" i="19" s="1"/>
  <c r="N338" i="19"/>
  <c r="M338" i="19"/>
  <c r="N320" i="19"/>
  <c r="N306" i="19"/>
  <c r="M306" i="19"/>
  <c r="M534" i="3" l="1"/>
  <c r="M531" i="3" s="1"/>
  <c r="H50" i="7"/>
  <c r="H48" i="7"/>
  <c r="M440" i="3"/>
  <c r="D39" i="16"/>
  <c r="H47" i="7" l="1"/>
  <c r="M280" i="3"/>
  <c r="M279" i="3" s="1"/>
  <c r="M278" i="3" s="1"/>
  <c r="M277" i="3" s="1"/>
  <c r="M276" i="3" s="1"/>
  <c r="I393" i="18" l="1"/>
  <c r="I392" i="18" s="1"/>
  <c r="H393" i="18"/>
  <c r="H392" i="18" s="1"/>
  <c r="N148" i="19"/>
  <c r="N147" i="19" s="1"/>
  <c r="N146" i="19" s="1"/>
  <c r="N145" i="19" s="1"/>
  <c r="N144" i="19" s="1"/>
  <c r="N143" i="19" s="1"/>
  <c r="M148" i="19"/>
  <c r="M147" i="19" s="1"/>
  <c r="M146" i="19" s="1"/>
  <c r="M145" i="19" s="1"/>
  <c r="M144" i="19" s="1"/>
  <c r="I409" i="18"/>
  <c r="H409" i="18"/>
  <c r="I408" i="18"/>
  <c r="H408" i="18"/>
  <c r="N79" i="19"/>
  <c r="M79" i="19"/>
  <c r="I407" i="18" l="1"/>
  <c r="I406" i="18" s="1"/>
  <c r="H407" i="18"/>
  <c r="H406" i="18" s="1"/>
  <c r="M143" i="19"/>
  <c r="H308" i="7" l="1"/>
  <c r="H307" i="7" s="1"/>
  <c r="H306" i="7" s="1"/>
  <c r="H305" i="7" s="1"/>
  <c r="H517" i="7" l="1"/>
  <c r="H515" i="7"/>
  <c r="H514" i="7" l="1"/>
  <c r="H513" i="7" s="1"/>
  <c r="M84" i="3"/>
  <c r="M83" i="3" s="1"/>
  <c r="C39" i="16" l="1"/>
  <c r="H187" i="7" l="1"/>
  <c r="M589" i="3"/>
  <c r="M588" i="3" s="1"/>
  <c r="I178" i="18" l="1"/>
  <c r="H178" i="18"/>
  <c r="M660" i="3" l="1"/>
  <c r="N475" i="19"/>
  <c r="M475" i="19"/>
  <c r="I191" i="18"/>
  <c r="H191" i="18"/>
  <c r="I190" i="18"/>
  <c r="H190" i="18"/>
  <c r="I189" i="18"/>
  <c r="H189" i="18"/>
  <c r="H193" i="18"/>
  <c r="H192" i="18" s="1"/>
  <c r="I193" i="18"/>
  <c r="I192" i="18" s="1"/>
  <c r="N469" i="19"/>
  <c r="M469" i="19"/>
  <c r="M465" i="19"/>
  <c r="N465" i="19"/>
  <c r="N464" i="19" l="1"/>
  <c r="N463" i="19" s="1"/>
  <c r="N462" i="19" s="1"/>
  <c r="M464" i="19"/>
  <c r="M463" i="19" s="1"/>
  <c r="M462" i="19" s="1"/>
  <c r="H188" i="18"/>
  <c r="H187" i="18" s="1"/>
  <c r="I188" i="18"/>
  <c r="I187" i="18" s="1"/>
  <c r="N435" i="19" l="1"/>
  <c r="M435" i="19"/>
  <c r="I134" i="18"/>
  <c r="H171" i="7"/>
  <c r="H170" i="7" s="1"/>
  <c r="M598" i="3"/>
  <c r="D23" i="16"/>
  <c r="D22" i="16" s="1"/>
  <c r="C23" i="16"/>
  <c r="C22" i="16" s="1"/>
  <c r="H134" i="18" l="1"/>
  <c r="N255" i="19"/>
  <c r="N254" i="19" s="1"/>
  <c r="I306" i="18"/>
  <c r="H306" i="18"/>
  <c r="N236" i="19"/>
  <c r="N235" i="19" s="1"/>
  <c r="N234" i="19" s="1"/>
  <c r="M236" i="19"/>
  <c r="M235" i="19" s="1"/>
  <c r="M234" i="19" s="1"/>
  <c r="N253" i="19" l="1"/>
  <c r="N252" i="19" s="1"/>
  <c r="N251" i="19" s="1"/>
  <c r="I252" i="18" l="1"/>
  <c r="I251" i="18" s="1"/>
  <c r="H252" i="18"/>
  <c r="H251" i="18" s="1"/>
  <c r="N188" i="19"/>
  <c r="N187" i="19" s="1"/>
  <c r="N186" i="19" s="1"/>
  <c r="N185" i="19" s="1"/>
  <c r="N184" i="19" s="1"/>
  <c r="N603" i="19" s="1"/>
  <c r="M188" i="19"/>
  <c r="M187" i="19" s="1"/>
  <c r="M186" i="19" s="1"/>
  <c r="M185" i="19" s="1"/>
  <c r="M184" i="19" s="1"/>
  <c r="M603" i="19" s="1"/>
  <c r="N183" i="19" l="1"/>
  <c r="M183" i="19"/>
  <c r="H19" i="18" l="1"/>
  <c r="I19" i="18"/>
  <c r="I23" i="18"/>
  <c r="H25" i="18"/>
  <c r="I25" i="18"/>
  <c r="H26" i="18"/>
  <c r="I26" i="18"/>
  <c r="H28" i="18"/>
  <c r="I28" i="18"/>
  <c r="H30" i="18"/>
  <c r="I30" i="18"/>
  <c r="H33" i="18"/>
  <c r="I33" i="18"/>
  <c r="H34" i="18"/>
  <c r="I34" i="18"/>
  <c r="H35" i="18"/>
  <c r="I35" i="18"/>
  <c r="H36" i="18"/>
  <c r="I36" i="18"/>
  <c r="H41" i="18"/>
  <c r="I41" i="18"/>
  <c r="I42" i="18"/>
  <c r="H43" i="18"/>
  <c r="I43" i="18"/>
  <c r="H45" i="18"/>
  <c r="I45" i="18"/>
  <c r="H46" i="18"/>
  <c r="I46" i="18"/>
  <c r="H47" i="18"/>
  <c r="I47" i="18"/>
  <c r="H49" i="18"/>
  <c r="I49" i="18"/>
  <c r="H50" i="18"/>
  <c r="I50" i="18"/>
  <c r="H51" i="18"/>
  <c r="I51" i="18"/>
  <c r="H53" i="18"/>
  <c r="I53" i="18"/>
  <c r="H54" i="18"/>
  <c r="I54" i="18"/>
  <c r="H56" i="18"/>
  <c r="H55" i="18" s="1"/>
  <c r="I56" i="18"/>
  <c r="I55" i="18" s="1"/>
  <c r="H58" i="18"/>
  <c r="I58" i="18"/>
  <c r="H59" i="18"/>
  <c r="I59" i="18"/>
  <c r="H64" i="18"/>
  <c r="I64" i="18"/>
  <c r="H65" i="18"/>
  <c r="I65" i="18"/>
  <c r="H66" i="18"/>
  <c r="I66" i="18"/>
  <c r="H87" i="18"/>
  <c r="I87" i="18"/>
  <c r="H89" i="18"/>
  <c r="I89" i="18"/>
  <c r="I93" i="18"/>
  <c r="H94" i="18"/>
  <c r="I94" i="18"/>
  <c r="H95" i="18"/>
  <c r="I95" i="18"/>
  <c r="I97" i="18"/>
  <c r="H98" i="18"/>
  <c r="I98" i="18"/>
  <c r="I99" i="18"/>
  <c r="H100" i="18"/>
  <c r="I100" i="18"/>
  <c r="H102" i="18"/>
  <c r="H101" i="18" s="1"/>
  <c r="I102" i="18"/>
  <c r="I101" i="18" s="1"/>
  <c r="H105" i="18"/>
  <c r="H104" i="18" s="1"/>
  <c r="I105" i="18"/>
  <c r="I104" i="18" s="1"/>
  <c r="H111" i="18"/>
  <c r="I111" i="18"/>
  <c r="H114" i="18"/>
  <c r="I114" i="18"/>
  <c r="H117" i="18"/>
  <c r="I117" i="18"/>
  <c r="H123" i="18"/>
  <c r="I123" i="18"/>
  <c r="H125" i="18"/>
  <c r="I125" i="18"/>
  <c r="H128" i="18"/>
  <c r="I128" i="18"/>
  <c r="H131" i="18"/>
  <c r="I131" i="18"/>
  <c r="I138" i="18"/>
  <c r="H142" i="18"/>
  <c r="H141" i="18" s="1"/>
  <c r="I142" i="18"/>
  <c r="I141" i="18" s="1"/>
  <c r="H144" i="18"/>
  <c r="H148" i="18"/>
  <c r="I148" i="18"/>
  <c r="H149" i="18"/>
  <c r="I149" i="18"/>
  <c r="H150" i="18"/>
  <c r="I150" i="18"/>
  <c r="H152" i="18"/>
  <c r="I152" i="18"/>
  <c r="H153" i="18"/>
  <c r="I153" i="18"/>
  <c r="H154" i="18"/>
  <c r="I154" i="18"/>
  <c r="H157" i="18"/>
  <c r="I157" i="18"/>
  <c r="H162" i="18"/>
  <c r="H161" i="18" s="1"/>
  <c r="I166" i="18"/>
  <c r="I165" i="18" s="1"/>
  <c r="H170" i="18"/>
  <c r="I170" i="18"/>
  <c r="H172" i="18"/>
  <c r="I172" i="18"/>
  <c r="H186" i="18"/>
  <c r="I186" i="18"/>
  <c r="H200" i="18"/>
  <c r="I200" i="18"/>
  <c r="H201" i="18"/>
  <c r="I201" i="18"/>
  <c r="H202" i="18"/>
  <c r="I202" i="18"/>
  <c r="H206" i="18"/>
  <c r="I206" i="18"/>
  <c r="H207" i="18"/>
  <c r="I207" i="18"/>
  <c r="H208" i="18"/>
  <c r="I208" i="18"/>
  <c r="H211" i="18"/>
  <c r="I211" i="18"/>
  <c r="H214" i="18"/>
  <c r="I214" i="18"/>
  <c r="H217" i="18"/>
  <c r="I217" i="18"/>
  <c r="H223" i="18"/>
  <c r="I223" i="18"/>
  <c r="H225" i="18"/>
  <c r="I225" i="18"/>
  <c r="H229" i="18"/>
  <c r="I229" i="18"/>
  <c r="H232" i="18"/>
  <c r="I232" i="18"/>
  <c r="H237" i="18"/>
  <c r="I237" i="18"/>
  <c r="H238" i="18"/>
  <c r="I238" i="18"/>
  <c r="H242" i="18"/>
  <c r="I242" i="18"/>
  <c r="H248" i="18"/>
  <c r="I248" i="18"/>
  <c r="H249" i="18"/>
  <c r="I249" i="18"/>
  <c r="H250" i="18"/>
  <c r="I250" i="18"/>
  <c r="H255" i="18"/>
  <c r="I255" i="18"/>
  <c r="H258" i="18"/>
  <c r="I258" i="18"/>
  <c r="H261" i="18"/>
  <c r="I261" i="18"/>
  <c r="H267" i="18"/>
  <c r="I267" i="18"/>
  <c r="I271" i="18"/>
  <c r="H272" i="18"/>
  <c r="I272" i="18"/>
  <c r="H273" i="18"/>
  <c r="I273" i="18"/>
  <c r="H277" i="18"/>
  <c r="I277" i="18"/>
  <c r="H279" i="18"/>
  <c r="I279" i="18"/>
  <c r="H282" i="18"/>
  <c r="I282" i="18"/>
  <c r="H285" i="18"/>
  <c r="I285" i="18"/>
  <c r="H291" i="18"/>
  <c r="I291" i="18"/>
  <c r="H292" i="18"/>
  <c r="I292" i="18"/>
  <c r="H294" i="18"/>
  <c r="I294" i="18"/>
  <c r="H295" i="18"/>
  <c r="I295" i="18"/>
  <c r="H299" i="18"/>
  <c r="I299" i="18"/>
  <c r="H300" i="18"/>
  <c r="I300" i="18"/>
  <c r="H302" i="18"/>
  <c r="I302" i="18"/>
  <c r="H303" i="18"/>
  <c r="I303" i="18"/>
  <c r="H309" i="18"/>
  <c r="I309" i="18"/>
  <c r="H313" i="18"/>
  <c r="I313" i="18"/>
  <c r="H316" i="18"/>
  <c r="I316" i="18"/>
  <c r="H319" i="18"/>
  <c r="I319" i="18"/>
  <c r="H322" i="18"/>
  <c r="I322" i="18"/>
  <c r="H334" i="18"/>
  <c r="I334" i="18"/>
  <c r="H337" i="18"/>
  <c r="I337" i="18"/>
  <c r="H343" i="18"/>
  <c r="I343" i="18"/>
  <c r="H349" i="18"/>
  <c r="I349" i="18"/>
  <c r="H353" i="18"/>
  <c r="I353" i="18"/>
  <c r="H365" i="18"/>
  <c r="I365" i="18"/>
  <c r="H371" i="18"/>
  <c r="I371" i="18"/>
  <c r="H376" i="18"/>
  <c r="I376" i="18"/>
  <c r="H380" i="18"/>
  <c r="I380" i="18"/>
  <c r="H385" i="18"/>
  <c r="I385" i="18"/>
  <c r="H395" i="18"/>
  <c r="I395" i="18"/>
  <c r="H396" i="18"/>
  <c r="I396" i="18"/>
  <c r="H399" i="18"/>
  <c r="I399" i="18"/>
  <c r="H401" i="18"/>
  <c r="I401" i="18"/>
  <c r="H404" i="18"/>
  <c r="I404" i="18"/>
  <c r="H405" i="18"/>
  <c r="I405" i="18"/>
  <c r="H416" i="18"/>
  <c r="I416" i="18"/>
  <c r="H417" i="18"/>
  <c r="I417" i="18"/>
  <c r="H418" i="18"/>
  <c r="I418" i="18"/>
  <c r="H423" i="18"/>
  <c r="I423" i="18"/>
  <c r="H205" i="18" l="1"/>
  <c r="H73" i="18"/>
  <c r="H63" i="18"/>
  <c r="I40" i="18"/>
  <c r="H271" i="18"/>
  <c r="H42" i="18"/>
  <c r="H40" i="18" s="1"/>
  <c r="H374" i="18" l="1"/>
  <c r="H359" i="18"/>
  <c r="H166" i="18" l="1"/>
  <c r="H165" i="18" s="1"/>
  <c r="H23" i="18" l="1"/>
  <c r="H370" i="7" l="1"/>
  <c r="H368" i="7" s="1"/>
  <c r="M300" i="3"/>
  <c r="H391" i="7" l="1"/>
  <c r="H390" i="7" s="1"/>
  <c r="H389" i="7" s="1"/>
  <c r="M320" i="3"/>
  <c r="M319" i="3" s="1"/>
  <c r="M318" i="3" s="1"/>
  <c r="M317" i="3" s="1"/>
  <c r="M449" i="3" l="1"/>
  <c r="H97" i="18" l="1"/>
  <c r="M381" i="3" l="1"/>
  <c r="M380" i="3" s="1"/>
  <c r="M379" i="3" s="1"/>
  <c r="M378" i="3" s="1"/>
  <c r="H293" i="7"/>
  <c r="H292" i="7" s="1"/>
  <c r="I384" i="18" l="1"/>
  <c r="H384" i="18"/>
  <c r="I382" i="18"/>
  <c r="H382" i="18"/>
  <c r="I387" i="18"/>
  <c r="H387" i="18"/>
  <c r="I388" i="18"/>
  <c r="H388" i="18"/>
  <c r="I318" i="18" l="1"/>
  <c r="H318" i="18"/>
  <c r="I315" i="18"/>
  <c r="H315" i="18"/>
  <c r="I312" i="18"/>
  <c r="H312" i="18"/>
  <c r="C71" i="2" l="1"/>
  <c r="I359" i="18" l="1"/>
  <c r="H138" i="18" l="1"/>
  <c r="H137" i="18" s="1"/>
  <c r="C29" i="2"/>
  <c r="C28" i="2" s="1"/>
  <c r="H177" i="7" l="1"/>
  <c r="H176" i="7" s="1"/>
  <c r="M604" i="3" l="1"/>
  <c r="H276" i="18" l="1"/>
  <c r="H38" i="18" l="1"/>
  <c r="H99" i="18"/>
  <c r="H93" i="18"/>
  <c r="M654" i="3" l="1"/>
  <c r="M650" i="3" l="1"/>
  <c r="M649" i="3" s="1"/>
  <c r="M648" i="3" s="1"/>
  <c r="M647" i="3" s="1"/>
  <c r="H247" i="7" l="1"/>
  <c r="H246" i="7" s="1"/>
  <c r="H245" i="7"/>
  <c r="H244" i="7"/>
  <c r="H243" i="7"/>
  <c r="H242" i="7" l="1"/>
  <c r="H241" i="7" s="1"/>
  <c r="M313" i="3" l="1"/>
  <c r="M312" i="3" s="1"/>
  <c r="H367" i="7" l="1"/>
  <c r="H366" i="7" s="1"/>
  <c r="M632" i="3"/>
  <c r="I308" i="18" l="1"/>
  <c r="H308" i="18"/>
  <c r="I307" i="18"/>
  <c r="I305" i="18" s="1"/>
  <c r="H307" i="18"/>
  <c r="H305" i="18" s="1"/>
  <c r="N264" i="19"/>
  <c r="M264" i="19"/>
  <c r="H304" i="18" l="1"/>
  <c r="I304" i="18"/>
  <c r="D51" i="16"/>
  <c r="C51" i="16"/>
  <c r="D25" i="16" l="1"/>
  <c r="N437" i="19" l="1"/>
  <c r="I144" i="18"/>
  <c r="N40" i="19"/>
  <c r="M40" i="19"/>
  <c r="H486" i="7"/>
  <c r="H485" i="7"/>
  <c r="M38" i="3"/>
  <c r="H67" i="7"/>
  <c r="H66" i="7" s="1"/>
  <c r="H81" i="7"/>
  <c r="H80" i="7"/>
  <c r="H79" i="7"/>
  <c r="H386" i="18" l="1"/>
  <c r="I386" i="18"/>
  <c r="H484" i="7"/>
  <c r="I63" i="18"/>
  <c r="H78" i="7"/>
  <c r="H39" i="18"/>
  <c r="I39" i="18"/>
  <c r="N328" i="19"/>
  <c r="M328" i="19"/>
  <c r="M468" i="3"/>
  <c r="M460" i="3" l="1"/>
  <c r="N560" i="19"/>
  <c r="M560" i="19"/>
  <c r="N566" i="19"/>
  <c r="M566" i="19"/>
  <c r="N545" i="19"/>
  <c r="M545" i="19"/>
  <c r="N550" i="19"/>
  <c r="M550" i="19"/>
  <c r="H403" i="7"/>
  <c r="H404" i="7"/>
  <c r="M756" i="3"/>
  <c r="M762" i="3"/>
  <c r="M741" i="3"/>
  <c r="M746" i="3"/>
  <c r="D59" i="16"/>
  <c r="C59" i="16"/>
  <c r="H402" i="7" l="1"/>
  <c r="H357" i="7"/>
  <c r="H356" i="7" s="1"/>
  <c r="H318" i="7"/>
  <c r="H317" i="7" s="1"/>
  <c r="H491" i="7"/>
  <c r="H490" i="7" s="1"/>
  <c r="F38" i="6" l="1"/>
  <c r="E38" i="6"/>
  <c r="M367" i="3"/>
  <c r="M366" i="3" s="1"/>
  <c r="M365" i="3" s="1"/>
  <c r="M364" i="3" s="1"/>
  <c r="M363" i="3" s="1"/>
  <c r="M249" i="3"/>
  <c r="M248" i="3" s="1"/>
  <c r="M247" i="3" s="1"/>
  <c r="M246" i="3" s="1"/>
  <c r="M245" i="3" s="1"/>
  <c r="M244" i="3" s="1"/>
  <c r="M176" i="3"/>
  <c r="M175" i="3" s="1"/>
  <c r="M174" i="3" l="1"/>
  <c r="M173" i="3" s="1"/>
  <c r="M172" i="3" s="1"/>
  <c r="I378" i="18"/>
  <c r="H378" i="18"/>
  <c r="M799" i="3" l="1"/>
  <c r="D38" i="6" s="1"/>
  <c r="M171" i="3"/>
  <c r="I374" i="18"/>
  <c r="I22" i="18" l="1"/>
  <c r="N241" i="19"/>
  <c r="M241" i="19"/>
  <c r="H22" i="18"/>
  <c r="M292" i="3"/>
  <c r="M325" i="3"/>
  <c r="M759" i="3" l="1"/>
  <c r="M755" i="3" s="1"/>
  <c r="H52" i="7" l="1"/>
  <c r="N249" i="19" l="1"/>
  <c r="N248" i="19" s="1"/>
  <c r="M249" i="19"/>
  <c r="M248" i="19" s="1"/>
  <c r="D57" i="16" l="1"/>
  <c r="C57" i="16"/>
  <c r="C69" i="2"/>
  <c r="M490" i="3"/>
  <c r="I80" i="18" l="1"/>
  <c r="H80" i="18"/>
  <c r="I38" i="18"/>
  <c r="H21" i="18"/>
  <c r="H51" i="7"/>
  <c r="M443" i="3"/>
  <c r="N288" i="19" l="1"/>
  <c r="I21" i="18"/>
  <c r="I20" i="18" s="1"/>
  <c r="M288" i="19"/>
  <c r="I37" i="18"/>
  <c r="H20" i="18"/>
  <c r="I164" i="18"/>
  <c r="H164" i="18"/>
  <c r="H160" i="18" s="1"/>
  <c r="I78" i="18"/>
  <c r="H37" i="18"/>
  <c r="N303" i="19"/>
  <c r="M303" i="19"/>
  <c r="H78" i="18" l="1"/>
  <c r="M414" i="3"/>
  <c r="N474" i="19" l="1"/>
  <c r="N473" i="19" s="1"/>
  <c r="N472" i="19" s="1"/>
  <c r="M474" i="19"/>
  <c r="M473" i="19" s="1"/>
  <c r="M472" i="19" s="1"/>
  <c r="I171" i="18"/>
  <c r="H171" i="18"/>
  <c r="H169" i="18" s="1"/>
  <c r="I241" i="18" l="1"/>
  <c r="I240" i="18" s="1"/>
  <c r="I239" i="18" s="1"/>
  <c r="H241" i="18"/>
  <c r="H240" i="18" s="1"/>
  <c r="H239" i="18" s="1"/>
  <c r="H461" i="7" l="1"/>
  <c r="N110" i="19"/>
  <c r="N109" i="19" s="1"/>
  <c r="N108" i="19" s="1"/>
  <c r="M110" i="19"/>
  <c r="M109" i="19" s="1"/>
  <c r="M108" i="19" s="1"/>
  <c r="I236" i="18"/>
  <c r="H236" i="18"/>
  <c r="I375" i="18" l="1"/>
  <c r="H375" i="18"/>
  <c r="H345" i="7" l="1"/>
  <c r="I276" i="18" l="1"/>
  <c r="I275" i="18"/>
  <c r="H275" i="18"/>
  <c r="I127" i="18" l="1"/>
  <c r="I126" i="18" s="1"/>
  <c r="H127" i="18"/>
  <c r="H126" i="18" s="1"/>
  <c r="N434" i="19"/>
  <c r="N433" i="19" s="1"/>
  <c r="N417" i="19"/>
  <c r="N416" i="19" s="1"/>
  <c r="M417" i="19"/>
  <c r="M416" i="19" s="1"/>
  <c r="N415" i="19" l="1"/>
  <c r="N414" i="19" s="1"/>
  <c r="N413" i="19" s="1"/>
  <c r="M415" i="19"/>
  <c r="M414" i="19" s="1"/>
  <c r="M413" i="19" s="1"/>
  <c r="D15" i="9"/>
  <c r="C15" i="9"/>
  <c r="C14" i="9" l="1"/>
  <c r="D14" i="9" l="1"/>
  <c r="C45" i="2" l="1"/>
  <c r="C44" i="2" l="1"/>
  <c r="D59" i="6"/>
  <c r="M615" i="3" l="1"/>
  <c r="M598" i="19" l="1"/>
  <c r="H191" i="7" l="1"/>
  <c r="H25" i="7" l="1"/>
  <c r="H23" i="7" s="1"/>
  <c r="M255" i="19"/>
  <c r="M254" i="19" s="1"/>
  <c r="M253" i="19" l="1"/>
  <c r="M252" i="19" s="1"/>
  <c r="M251" i="19" s="1"/>
  <c r="N247" i="19" l="1"/>
  <c r="N246" i="19" s="1"/>
  <c r="N245" i="19" s="1"/>
  <c r="N244" i="19" s="1"/>
  <c r="M247" i="19"/>
  <c r="M246" i="19" s="1"/>
  <c r="M245" i="19" s="1"/>
  <c r="M244" i="19" s="1"/>
  <c r="M738" i="3" l="1"/>
  <c r="N353" i="19" l="1"/>
  <c r="M353" i="19"/>
  <c r="M495" i="3" l="1"/>
  <c r="M401" i="3" l="1"/>
  <c r="M296" i="3"/>
  <c r="M270" i="3"/>
  <c r="M72" i="3"/>
  <c r="M48" i="3"/>
  <c r="M21" i="3"/>
  <c r="M20" i="3" s="1"/>
  <c r="M53" i="3" l="1"/>
  <c r="M52" i="3" s="1"/>
  <c r="M64" i="3" l="1"/>
  <c r="M120" i="3" l="1"/>
  <c r="I86" i="18" l="1"/>
  <c r="H86" i="18"/>
  <c r="H104" i="7" l="1"/>
  <c r="H103" i="7" s="1"/>
  <c r="H137" i="7"/>
  <c r="M126" i="3" l="1"/>
  <c r="M125" i="3" s="1"/>
  <c r="M124" i="3" s="1"/>
  <c r="M395" i="3" l="1"/>
  <c r="H72" i="7" l="1"/>
  <c r="H73" i="7"/>
  <c r="H71" i="7" l="1"/>
  <c r="N471" i="19"/>
  <c r="N618" i="19" s="1"/>
  <c r="H60" i="18"/>
  <c r="I60" i="18"/>
  <c r="M471" i="19" l="1"/>
  <c r="M618" i="19" s="1"/>
  <c r="E51" i="6" s="1"/>
  <c r="F51" i="6"/>
  <c r="M463" i="3"/>
  <c r="I110" i="18" l="1"/>
  <c r="I109" i="18" s="1"/>
  <c r="H110" i="18"/>
  <c r="H109" i="18" s="1"/>
  <c r="I113" i="18"/>
  <c r="I112" i="18" s="1"/>
  <c r="H113" i="18"/>
  <c r="H112" i="18" s="1"/>
  <c r="I116" i="18"/>
  <c r="I115" i="18" s="1"/>
  <c r="H116" i="18"/>
  <c r="H115" i="18" s="1"/>
  <c r="N322" i="19"/>
  <c r="M322" i="19"/>
  <c r="N273" i="19"/>
  <c r="N272" i="19" s="1"/>
  <c r="M273" i="19"/>
  <c r="M272" i="19" s="1"/>
  <c r="N276" i="19"/>
  <c r="N275" i="19" s="1"/>
  <c r="M276" i="19"/>
  <c r="M275" i="19" s="1"/>
  <c r="N279" i="19"/>
  <c r="N278" i="19" s="1"/>
  <c r="M279" i="19"/>
  <c r="M278" i="19" s="1"/>
  <c r="H57" i="18" l="1"/>
  <c r="I57" i="18"/>
  <c r="N271" i="19"/>
  <c r="N270" i="19" s="1"/>
  <c r="N269" i="19" s="1"/>
  <c r="N268" i="19" s="1"/>
  <c r="M271" i="19"/>
  <c r="M270" i="19" s="1"/>
  <c r="M269" i="19" s="1"/>
  <c r="M268" i="19" s="1"/>
  <c r="H143" i="7" l="1"/>
  <c r="H142" i="7" s="1"/>
  <c r="H141" i="7" s="1"/>
  <c r="H146" i="7"/>
  <c r="H145" i="7" s="1"/>
  <c r="H144" i="7" s="1"/>
  <c r="H149" i="7"/>
  <c r="H148" i="7" s="1"/>
  <c r="H147" i="7" s="1"/>
  <c r="M394" i="3"/>
  <c r="M398" i="3"/>
  <c r="M397" i="3" s="1"/>
  <c r="M400" i="3"/>
  <c r="H123" i="7"/>
  <c r="H122" i="7" s="1"/>
  <c r="H139" i="7"/>
  <c r="M390" i="3" l="1"/>
  <c r="M389" i="3" s="1"/>
  <c r="M388" i="3" s="1"/>
  <c r="M387" i="3" s="1"/>
  <c r="H136" i="7"/>
  <c r="I185" i="18" l="1"/>
  <c r="I184" i="18" s="1"/>
  <c r="H185" i="18"/>
  <c r="H184" i="18" s="1"/>
  <c r="I182" i="18"/>
  <c r="H182" i="18"/>
  <c r="N458" i="19"/>
  <c r="N457" i="19" s="1"/>
  <c r="N456" i="19" s="1"/>
  <c r="N455" i="19" s="1"/>
  <c r="N454" i="19" s="1"/>
  <c r="N453" i="19" s="1"/>
  <c r="M458" i="19"/>
  <c r="M457" i="19" s="1"/>
  <c r="M456" i="19" s="1"/>
  <c r="M455" i="19" s="1"/>
  <c r="M454" i="19" s="1"/>
  <c r="M453" i="19" s="1"/>
  <c r="H240" i="7"/>
  <c r="H239" i="7" s="1"/>
  <c r="H238" i="7" s="1"/>
  <c r="H248" i="7" l="1"/>
  <c r="N411" i="19"/>
  <c r="I124" i="18" s="1"/>
  <c r="M411" i="19"/>
  <c r="H124" i="18" s="1"/>
  <c r="I156" i="18"/>
  <c r="I155" i="18" s="1"/>
  <c r="H156" i="18"/>
  <c r="H155" i="18" s="1"/>
  <c r="N402" i="19"/>
  <c r="N401" i="19" s="1"/>
  <c r="N400" i="19" s="1"/>
  <c r="M402" i="19"/>
  <c r="M401" i="19" s="1"/>
  <c r="M400" i="19" s="1"/>
  <c r="I364" i="18"/>
  <c r="I363" i="18" s="1"/>
  <c r="I362" i="18" s="1"/>
  <c r="I361" i="18" s="1"/>
  <c r="H364" i="18"/>
  <c r="H363" i="18" s="1"/>
  <c r="H362" i="18" s="1"/>
  <c r="H361" i="18" s="1"/>
  <c r="N161" i="19"/>
  <c r="N160" i="19" s="1"/>
  <c r="N159" i="19" s="1"/>
  <c r="N158" i="19" s="1"/>
  <c r="N157" i="19" s="1"/>
  <c r="M161" i="19"/>
  <c r="M160" i="19" s="1"/>
  <c r="M159" i="19" s="1"/>
  <c r="M158" i="19" s="1"/>
  <c r="M157" i="19" s="1"/>
  <c r="I358" i="18"/>
  <c r="I357" i="18" s="1"/>
  <c r="H358" i="18"/>
  <c r="H357" i="18" s="1"/>
  <c r="N141" i="19"/>
  <c r="N140" i="19" s="1"/>
  <c r="M141" i="19"/>
  <c r="M140" i="19" s="1"/>
  <c r="I348" i="18"/>
  <c r="I347" i="18" s="1"/>
  <c r="I346" i="18" s="1"/>
  <c r="H348" i="18"/>
  <c r="H347" i="18" s="1"/>
  <c r="H346" i="18" s="1"/>
  <c r="N132" i="19"/>
  <c r="N131" i="19" s="1"/>
  <c r="N130" i="19" s="1"/>
  <c r="M132" i="19"/>
  <c r="M131" i="19" s="1"/>
  <c r="M130" i="19" s="1"/>
  <c r="I231" i="18"/>
  <c r="I230" i="18" s="1"/>
  <c r="H231" i="18"/>
  <c r="H230" i="18" s="1"/>
  <c r="I228" i="18"/>
  <c r="I227" i="18" s="1"/>
  <c r="H228" i="18"/>
  <c r="H227" i="18" s="1"/>
  <c r="N100" i="19"/>
  <c r="N99" i="19" s="1"/>
  <c r="M100" i="19"/>
  <c r="M99" i="19" s="1"/>
  <c r="N97" i="19"/>
  <c r="N96" i="19" s="1"/>
  <c r="M97" i="19"/>
  <c r="M96" i="19" s="1"/>
  <c r="I398" i="18"/>
  <c r="H398" i="18"/>
  <c r="N77" i="19"/>
  <c r="I400" i="18" s="1"/>
  <c r="M77" i="19"/>
  <c r="H400" i="18" s="1"/>
  <c r="M75" i="19"/>
  <c r="N75" i="19"/>
  <c r="N71" i="19"/>
  <c r="N70" i="19" s="1"/>
  <c r="M71" i="19"/>
  <c r="M70" i="19" s="1"/>
  <c r="N63" i="19"/>
  <c r="N62" i="19" s="1"/>
  <c r="N61" i="19" s="1"/>
  <c r="N60" i="19" s="1"/>
  <c r="M63" i="19"/>
  <c r="M62" i="19" s="1"/>
  <c r="M61" i="19" s="1"/>
  <c r="M60" i="19" s="1"/>
  <c r="N37" i="19"/>
  <c r="M37" i="19"/>
  <c r="M399" i="19" l="1"/>
  <c r="M398" i="19" s="1"/>
  <c r="M397" i="19" s="1"/>
  <c r="N399" i="19"/>
  <c r="N398" i="19" s="1"/>
  <c r="N397" i="19" s="1"/>
  <c r="N95" i="19"/>
  <c r="M95" i="19"/>
  <c r="N74" i="19"/>
  <c r="N66" i="19" s="1"/>
  <c r="M74" i="19"/>
  <c r="M66" i="19" s="1"/>
  <c r="M65" i="19" s="1"/>
  <c r="M54" i="19" s="1"/>
  <c r="I397" i="18"/>
  <c r="H397" i="18"/>
  <c r="H394" i="18"/>
  <c r="H391" i="18" s="1"/>
  <c r="I394" i="18"/>
  <c r="I391" i="18" s="1"/>
  <c r="M643" i="3"/>
  <c r="M642" i="3" s="1"/>
  <c r="M641" i="3" s="1"/>
  <c r="M640" i="3" s="1"/>
  <c r="M639" i="3" s="1"/>
  <c r="M638" i="3" s="1"/>
  <c r="N65" i="19" l="1"/>
  <c r="N54" i="19" s="1"/>
  <c r="H494" i="7"/>
  <c r="I278" i="18" l="1"/>
  <c r="H278" i="18"/>
  <c r="I281" i="18"/>
  <c r="I280" i="18" s="1"/>
  <c r="H281" i="18"/>
  <c r="H280" i="18" s="1"/>
  <c r="I284" i="18"/>
  <c r="I283" i="18" s="1"/>
  <c r="H284" i="18"/>
  <c r="H283" i="18" s="1"/>
  <c r="N232" i="19"/>
  <c r="N231" i="19" s="1"/>
  <c r="M232" i="19"/>
  <c r="M231" i="19" s="1"/>
  <c r="N229" i="19"/>
  <c r="N228" i="19" s="1"/>
  <c r="M229" i="19"/>
  <c r="M228" i="19" s="1"/>
  <c r="N226" i="19"/>
  <c r="M226" i="19"/>
  <c r="M310" i="3"/>
  <c r="H157" i="7" l="1"/>
  <c r="H156" i="7" s="1"/>
  <c r="M574" i="3"/>
  <c r="H186" i="7" l="1"/>
  <c r="H185" i="7" s="1"/>
  <c r="H209" i="7"/>
  <c r="H208" i="7" s="1"/>
  <c r="H207" i="7" s="1"/>
  <c r="I210" i="18"/>
  <c r="I209" i="18" s="1"/>
  <c r="H210" i="18"/>
  <c r="H209" i="18" s="1"/>
  <c r="I213" i="18"/>
  <c r="I212" i="18" s="1"/>
  <c r="H213" i="18"/>
  <c r="H212" i="18" s="1"/>
  <c r="I216" i="18"/>
  <c r="I215" i="18" s="1"/>
  <c r="H216" i="18"/>
  <c r="H215" i="18" s="1"/>
  <c r="H271" i="7"/>
  <c r="H270" i="7" s="1"/>
  <c r="H269" i="7" s="1"/>
  <c r="H274" i="7"/>
  <c r="H273" i="7" s="1"/>
  <c r="H272" i="7" s="1"/>
  <c r="H277" i="7"/>
  <c r="H276" i="7" s="1"/>
  <c r="H275" i="7" s="1"/>
  <c r="N523" i="19" l="1"/>
  <c r="N522" i="19" s="1"/>
  <c r="M523" i="19"/>
  <c r="M522" i="19" s="1"/>
  <c r="N516" i="19"/>
  <c r="N515" i="19" s="1"/>
  <c r="M516" i="19"/>
  <c r="M515" i="19" s="1"/>
  <c r="N513" i="19"/>
  <c r="N512" i="19" s="1"/>
  <c r="M513" i="19"/>
  <c r="M512" i="19" s="1"/>
  <c r="N510" i="19"/>
  <c r="N509" i="19" s="1"/>
  <c r="M510" i="19"/>
  <c r="M509" i="19" s="1"/>
  <c r="M710" i="3"/>
  <c r="M709" i="3" s="1"/>
  <c r="M707" i="3"/>
  <c r="M706" i="3" s="1"/>
  <c r="M704" i="3"/>
  <c r="M703" i="3" s="1"/>
  <c r="M699" i="3" l="1"/>
  <c r="M698" i="3" s="1"/>
  <c r="N508" i="19"/>
  <c r="N507" i="19" s="1"/>
  <c r="N506" i="19" s="1"/>
  <c r="N505" i="19" s="1"/>
  <c r="M508" i="19"/>
  <c r="M507" i="19" s="1"/>
  <c r="M506" i="19" s="1"/>
  <c r="M505" i="19" s="1"/>
  <c r="N203" i="19"/>
  <c r="N202" i="19" s="1"/>
  <c r="M203" i="19"/>
  <c r="M202" i="19" s="1"/>
  <c r="M697" i="3" l="1"/>
  <c r="M696" i="3" s="1"/>
  <c r="M565" i="3"/>
  <c r="M564" i="3" s="1"/>
  <c r="M560" i="3" s="1"/>
  <c r="M559" i="3" s="1"/>
  <c r="M558" i="3" s="1"/>
  <c r="M557" i="3" l="1"/>
  <c r="I260" i="18" l="1"/>
  <c r="I259" i="18" s="1"/>
  <c r="H260" i="18"/>
  <c r="H259" i="18" s="1"/>
  <c r="I257" i="18"/>
  <c r="I256" i="18" s="1"/>
  <c r="H257" i="18"/>
  <c r="H256" i="18" s="1"/>
  <c r="N181" i="19"/>
  <c r="N180" i="19" s="1"/>
  <c r="M181" i="19"/>
  <c r="M180" i="19" s="1"/>
  <c r="H334" i="7"/>
  <c r="H333" i="7" s="1"/>
  <c r="H332" i="7" s="1"/>
  <c r="M242" i="3"/>
  <c r="M241" i="3" s="1"/>
  <c r="N178" i="19" l="1"/>
  <c r="N177" i="19" s="1"/>
  <c r="N176" i="19" s="1"/>
  <c r="N175" i="19" s="1"/>
  <c r="N174" i="19" s="1"/>
  <c r="M178" i="19"/>
  <c r="M177" i="19" s="1"/>
  <c r="M176" i="19" s="1"/>
  <c r="M175" i="19" l="1"/>
  <c r="M174" i="19" s="1"/>
  <c r="M586" i="3" l="1"/>
  <c r="M585" i="3" s="1"/>
  <c r="M584" i="3" l="1"/>
  <c r="M583" i="3" s="1"/>
  <c r="M582" i="3" s="1"/>
  <c r="M563" i="19"/>
  <c r="D20" i="16" l="1"/>
  <c r="D19" i="16" s="1"/>
  <c r="C20" i="16"/>
  <c r="M19" i="3" l="1"/>
  <c r="M18" i="3" s="1"/>
  <c r="M17" i="3" s="1"/>
  <c r="M31" i="3"/>
  <c r="M33" i="3"/>
  <c r="M47" i="3"/>
  <c r="M46" i="3" s="1"/>
  <c r="M45" i="3" s="1"/>
  <c r="M44" i="3" s="1"/>
  <c r="M775" i="3" s="1"/>
  <c r="M51" i="3"/>
  <c r="M50" i="3" s="1"/>
  <c r="M63" i="3"/>
  <c r="M62" i="3" s="1"/>
  <c r="M61" i="3" s="1"/>
  <c r="M71" i="3"/>
  <c r="M76" i="3"/>
  <c r="M78" i="3"/>
  <c r="M99" i="3"/>
  <c r="M101" i="3"/>
  <c r="M103" i="3"/>
  <c r="M105" i="3"/>
  <c r="M111" i="3"/>
  <c r="M113" i="3"/>
  <c r="M116" i="3"/>
  <c r="M115" i="3" s="1"/>
  <c r="M133" i="3"/>
  <c r="M132" i="3" s="1"/>
  <c r="M136" i="3"/>
  <c r="M135" i="3" s="1"/>
  <c r="M142" i="3"/>
  <c r="M141" i="3" s="1"/>
  <c r="M148" i="3"/>
  <c r="M147" i="3" s="1"/>
  <c r="M146" i="3" s="1"/>
  <c r="M152" i="3"/>
  <c r="M151" i="3" s="1"/>
  <c r="M150" i="3" s="1"/>
  <c r="M157" i="3"/>
  <c r="M156" i="3" s="1"/>
  <c r="M186" i="3"/>
  <c r="M185" i="3" s="1"/>
  <c r="M184" i="3" s="1"/>
  <c r="M183" i="3" s="1"/>
  <c r="M182" i="3" s="1"/>
  <c r="M198" i="3"/>
  <c r="M197" i="3" s="1"/>
  <c r="M196" i="3" s="1"/>
  <c r="M195" i="3" s="1"/>
  <c r="M194" i="3" s="1"/>
  <c r="M223" i="3"/>
  <c r="M239" i="3"/>
  <c r="M238" i="3" s="1"/>
  <c r="M234" i="3" s="1"/>
  <c r="M256" i="3"/>
  <c r="M274" i="3"/>
  <c r="M269" i="3" s="1"/>
  <c r="M289" i="3"/>
  <c r="M288" i="3" s="1"/>
  <c r="M304" i="3"/>
  <c r="M295" i="3" s="1"/>
  <c r="M307" i="3"/>
  <c r="M306" i="3" s="1"/>
  <c r="M324" i="3"/>
  <c r="M323" i="3" s="1"/>
  <c r="M322" i="3" s="1"/>
  <c r="M333" i="3"/>
  <c r="M332" i="3" s="1"/>
  <c r="M331" i="3" s="1"/>
  <c r="M330" i="3" s="1"/>
  <c r="M344" i="3"/>
  <c r="M343" i="3" s="1"/>
  <c r="M408" i="3"/>
  <c r="M410" i="3"/>
  <c r="M412" i="3"/>
  <c r="M416" i="3"/>
  <c r="M418" i="3"/>
  <c r="M423" i="3"/>
  <c r="M422" i="3" s="1"/>
  <c r="M445" i="3"/>
  <c r="M483" i="3"/>
  <c r="M572" i="3"/>
  <c r="M576" i="3"/>
  <c r="M596" i="3"/>
  <c r="M600" i="3"/>
  <c r="M602" i="3"/>
  <c r="M659" i="3"/>
  <c r="M658" i="3" s="1"/>
  <c r="M690" i="3"/>
  <c r="M689" i="3" s="1"/>
  <c r="M688" i="3" s="1"/>
  <c r="M687" i="3" s="1"/>
  <c r="M686" i="3" s="1"/>
  <c r="M817" i="3" s="1"/>
  <c r="M727" i="3"/>
  <c r="M726" i="3" s="1"/>
  <c r="M725" i="3" s="1"/>
  <c r="M724" i="3" s="1"/>
  <c r="M723" i="3" s="1"/>
  <c r="M749" i="3"/>
  <c r="M23" i="19"/>
  <c r="M22" i="19" s="1"/>
  <c r="M21" i="19" s="1"/>
  <c r="M20" i="19" s="1"/>
  <c r="M19" i="19" s="1"/>
  <c r="M29" i="19"/>
  <c r="M33" i="19"/>
  <c r="M35" i="19"/>
  <c r="M47" i="19"/>
  <c r="M46" i="19" s="1"/>
  <c r="M45" i="19" s="1"/>
  <c r="M44" i="19" s="1"/>
  <c r="M43" i="19" s="1"/>
  <c r="M580" i="19" s="1"/>
  <c r="E20" i="6" s="1"/>
  <c r="M89" i="19"/>
  <c r="M91" i="19"/>
  <c r="M117" i="19"/>
  <c r="M116" i="19" s="1"/>
  <c r="M120" i="19"/>
  <c r="M119" i="19" s="1"/>
  <c r="M126" i="19"/>
  <c r="M125" i="19" s="1"/>
  <c r="M124" i="19" s="1"/>
  <c r="M123" i="19" s="1"/>
  <c r="M122" i="19" s="1"/>
  <c r="M591" i="19" s="1"/>
  <c r="E29" i="6" s="1"/>
  <c r="M136" i="19"/>
  <c r="M135" i="19" s="1"/>
  <c r="M134" i="19" s="1"/>
  <c r="M129" i="19" s="1"/>
  <c r="M155" i="19"/>
  <c r="M154" i="19" s="1"/>
  <c r="M153" i="19" s="1"/>
  <c r="M152" i="19" s="1"/>
  <c r="M151" i="19" s="1"/>
  <c r="M150" i="19" s="1"/>
  <c r="M170" i="19"/>
  <c r="M169" i="19" s="1"/>
  <c r="M168" i="19" s="1"/>
  <c r="M167" i="19" s="1"/>
  <c r="M166" i="19" s="1"/>
  <c r="M195" i="19"/>
  <c r="M194" i="19" s="1"/>
  <c r="M193" i="19" s="1"/>
  <c r="M192" i="19" s="1"/>
  <c r="M191" i="19" s="1"/>
  <c r="M214" i="19"/>
  <c r="M213" i="19" s="1"/>
  <c r="M218" i="19"/>
  <c r="M222" i="19"/>
  <c r="M240" i="19"/>
  <c r="M239" i="19" s="1"/>
  <c r="M238" i="19" s="1"/>
  <c r="M262" i="19"/>
  <c r="M261" i="19" s="1"/>
  <c r="M286" i="19"/>
  <c r="M290" i="19"/>
  <c r="M292" i="19"/>
  <c r="M298" i="19"/>
  <c r="M309" i="19"/>
  <c r="M313" i="19"/>
  <c r="M317" i="19"/>
  <c r="M337" i="19"/>
  <c r="M336" i="19" s="1"/>
  <c r="M355" i="19"/>
  <c r="M343" i="19" s="1"/>
  <c r="M361" i="19"/>
  <c r="M360" i="19" s="1"/>
  <c r="M381" i="19"/>
  <c r="M380" i="19" s="1"/>
  <c r="M379" i="19" s="1"/>
  <c r="M378" i="19" s="1"/>
  <c r="M377" i="19" s="1"/>
  <c r="M376" i="19" s="1"/>
  <c r="M409" i="19"/>
  <c r="M424" i="19"/>
  <c r="M423" i="19" s="1"/>
  <c r="M430" i="19"/>
  <c r="M437" i="19"/>
  <c r="M443" i="19"/>
  <c r="M447" i="19"/>
  <c r="M499" i="19"/>
  <c r="M498" i="19" s="1"/>
  <c r="M497" i="19" s="1"/>
  <c r="M496" i="19" s="1"/>
  <c r="M495" i="19" s="1"/>
  <c r="M620" i="19" s="1"/>
  <c r="M521" i="19"/>
  <c r="M520" i="19" s="1"/>
  <c r="M519" i="19" s="1"/>
  <c r="M604" i="19" s="1"/>
  <c r="M531" i="19"/>
  <c r="M530" i="19" s="1"/>
  <c r="M529" i="19" s="1"/>
  <c r="M528" i="19" s="1"/>
  <c r="M527" i="19" s="1"/>
  <c r="M542" i="19"/>
  <c r="M553" i="19"/>
  <c r="M569" i="19"/>
  <c r="M629" i="19" s="1"/>
  <c r="E60" i="6" s="1"/>
  <c r="E59" i="6" s="1"/>
  <c r="M181" i="3" l="1"/>
  <c r="M541" i="19"/>
  <c r="M540" i="19" s="1"/>
  <c r="M297" i="19"/>
  <c r="M296" i="19" s="1"/>
  <c r="M737" i="3"/>
  <c r="M736" i="3" s="1"/>
  <c r="M571" i="3"/>
  <c r="M595" i="3"/>
  <c r="M407" i="3"/>
  <c r="M255" i="3"/>
  <c r="M254" i="3" s="1"/>
  <c r="M253" i="3" s="1"/>
  <c r="M252" i="3" s="1"/>
  <c r="M251" i="3" s="1"/>
  <c r="M329" i="3"/>
  <c r="M328" i="3" s="1"/>
  <c r="M372" i="3"/>
  <c r="M371" i="3" s="1"/>
  <c r="M370" i="3" s="1"/>
  <c r="M369" i="3" s="1"/>
  <c r="M357" i="3"/>
  <c r="M356" i="3" s="1"/>
  <c r="M355" i="3" s="1"/>
  <c r="M346" i="3" s="1"/>
  <c r="M165" i="19"/>
  <c r="M28" i="19"/>
  <c r="M461" i="19"/>
  <c r="M617" i="19" s="1"/>
  <c r="M155" i="3"/>
  <c r="M154" i="3" s="1"/>
  <c r="M140" i="3"/>
  <c r="M139" i="3" s="1"/>
  <c r="M138" i="3" s="1"/>
  <c r="M786" i="3" s="1"/>
  <c r="M773" i="3"/>
  <c r="M88" i="19"/>
  <c r="M87" i="19" s="1"/>
  <c r="M86" i="19" s="1"/>
  <c r="M85" i="19" s="1"/>
  <c r="M285" i="19"/>
  <c r="M284" i="19" s="1"/>
  <c r="E39" i="6"/>
  <c r="M421" i="3"/>
  <c r="M420" i="3" s="1"/>
  <c r="M159" i="3"/>
  <c r="E53" i="6"/>
  <c r="M434" i="19"/>
  <c r="M433" i="19" s="1"/>
  <c r="M408" i="19"/>
  <c r="M407" i="19" s="1"/>
  <c r="M406" i="19" s="1"/>
  <c r="M139" i="19"/>
  <c r="M138" i="19" s="1"/>
  <c r="M128" i="19" s="1"/>
  <c r="M217" i="19"/>
  <c r="M216" i="19" s="1"/>
  <c r="M808" i="3"/>
  <c r="M777" i="3"/>
  <c r="M233" i="3"/>
  <c r="M232" i="3" s="1"/>
  <c r="M422" i="19"/>
  <c r="M98" i="3"/>
  <c r="M97" i="3" s="1"/>
  <c r="M96" i="3" s="1"/>
  <c r="M95" i="3" s="1"/>
  <c r="M559" i="19"/>
  <c r="M558" i="19" s="1"/>
  <c r="M557" i="19" s="1"/>
  <c r="M556" i="19" s="1"/>
  <c r="M614" i="19" s="1"/>
  <c r="M260" i="19"/>
  <c r="M259" i="19" s="1"/>
  <c r="M258" i="19" s="1"/>
  <c r="M257" i="19" s="1"/>
  <c r="M212" i="19"/>
  <c r="M201" i="19"/>
  <c r="M200" i="19" s="1"/>
  <c r="M199" i="19" s="1"/>
  <c r="M198" i="19" s="1"/>
  <c r="M309" i="3"/>
  <c r="M754" i="3"/>
  <c r="M753" i="3" s="1"/>
  <c r="M752" i="3" s="1"/>
  <c r="M811" i="3" s="1"/>
  <c r="M541" i="3"/>
  <c r="M540" i="3" s="1"/>
  <c r="M539" i="3" s="1"/>
  <c r="M538" i="3" s="1"/>
  <c r="M537" i="3" s="1"/>
  <c r="M536" i="3" s="1"/>
  <c r="M268" i="3"/>
  <c r="M267" i="3" s="1"/>
  <c r="M266" i="3" s="1"/>
  <c r="M265" i="3" s="1"/>
  <c r="M131" i="3"/>
  <c r="M130" i="3" s="1"/>
  <c r="M129" i="3" s="1"/>
  <c r="M785" i="3" s="1"/>
  <c r="D28" i="6" s="1"/>
  <c r="M110" i="3"/>
  <c r="M109" i="3" s="1"/>
  <c r="M721" i="3"/>
  <c r="M717" i="3"/>
  <c r="M291" i="3"/>
  <c r="M287" i="3" s="1"/>
  <c r="M628" i="3"/>
  <c r="M627" i="3" s="1"/>
  <c r="M624" i="3"/>
  <c r="M623" i="3" s="1"/>
  <c r="M622" i="3" s="1"/>
  <c r="M618" i="3"/>
  <c r="M518" i="3"/>
  <c r="M514" i="3"/>
  <c r="M510" i="3"/>
  <c r="M509" i="3" s="1"/>
  <c r="M508" i="3" s="1"/>
  <c r="M477" i="3"/>
  <c r="M476" i="3" s="1"/>
  <c r="M453" i="3"/>
  <c r="M437" i="3"/>
  <c r="M429" i="3"/>
  <c r="M342" i="3"/>
  <c r="M222" i="3"/>
  <c r="M221" i="3" s="1"/>
  <c r="M145" i="3"/>
  <c r="M119" i="3"/>
  <c r="M118" i="3" s="1"/>
  <c r="M75" i="3"/>
  <c r="M67" i="3" s="1"/>
  <c r="M35" i="3"/>
  <c r="M26" i="3" s="1"/>
  <c r="M25" i="3" s="1"/>
  <c r="M190" i="19"/>
  <c r="M626" i="19"/>
  <c r="M612" i="19"/>
  <c r="E45" i="6" s="1"/>
  <c r="M518" i="19"/>
  <c r="M504" i="19" s="1"/>
  <c r="M578" i="19"/>
  <c r="E18" i="6" s="1"/>
  <c r="M442" i="19"/>
  <c r="M441" i="19" s="1"/>
  <c r="M440" i="19" s="1"/>
  <c r="M439" i="19" s="1"/>
  <c r="M609" i="19" s="1"/>
  <c r="E43" i="6" s="1"/>
  <c r="M52" i="19"/>
  <c r="M51" i="19" s="1"/>
  <c r="M50" i="19" s="1"/>
  <c r="M49" i="19" s="1"/>
  <c r="M582" i="19" s="1"/>
  <c r="E22" i="6" s="1"/>
  <c r="M115" i="19"/>
  <c r="M114" i="19" s="1"/>
  <c r="M113" i="19" s="1"/>
  <c r="M104" i="19"/>
  <c r="M103" i="19" s="1"/>
  <c r="M102" i="19" s="1"/>
  <c r="M94" i="19" s="1"/>
  <c r="M513" i="3" l="1"/>
  <c r="M512" i="3" s="1"/>
  <c r="M507" i="3" s="1"/>
  <c r="M506" i="3" s="1"/>
  <c r="M428" i="3"/>
  <c r="M427" i="3" s="1"/>
  <c r="M776" i="3"/>
  <c r="M27" i="19"/>
  <c r="M26" i="19" s="1"/>
  <c r="M25" i="19" s="1"/>
  <c r="M823" i="3"/>
  <c r="M826" i="3" s="1"/>
  <c r="M657" i="3"/>
  <c r="M656" i="3" s="1"/>
  <c r="M815" i="3" s="1"/>
  <c r="M592" i="19"/>
  <c r="M460" i="19"/>
  <c r="M452" i="19" s="1"/>
  <c r="M581" i="19"/>
  <c r="E21" i="6" s="1"/>
  <c r="M646" i="3"/>
  <c r="M144" i="3"/>
  <c r="M787" i="3" s="1"/>
  <c r="D30" i="6" s="1"/>
  <c r="M164" i="19"/>
  <c r="M621" i="19"/>
  <c r="E48" i="6"/>
  <c r="M108" i="3"/>
  <c r="M539" i="19"/>
  <c r="M538" i="19" s="1"/>
  <c r="M613" i="19" s="1"/>
  <c r="M421" i="19"/>
  <c r="M420" i="19" s="1"/>
  <c r="M341" i="3"/>
  <c r="M340" i="3" s="1"/>
  <c r="M406" i="3"/>
  <c r="M405" i="3" s="1"/>
  <c r="M586" i="19"/>
  <c r="E25" i="6" s="1"/>
  <c r="M624" i="19"/>
  <c r="M627" i="19"/>
  <c r="E57" i="6"/>
  <c r="E56" i="6" s="1"/>
  <c r="M295" i="19"/>
  <c r="M735" i="3"/>
  <c r="M734" i="3" s="1"/>
  <c r="M342" i="19"/>
  <c r="M341" i="19" s="1"/>
  <c r="M340" i="19" s="1"/>
  <c r="M283" i="19"/>
  <c r="M405" i="19"/>
  <c r="M404" i="19" s="1"/>
  <c r="M93" i="19"/>
  <c r="M84" i="19" s="1"/>
  <c r="M570" i="3"/>
  <c r="M569" i="3" s="1"/>
  <c r="M568" i="3" s="1"/>
  <c r="M567" i="3" s="1"/>
  <c r="M594" i="3"/>
  <c r="M626" i="3"/>
  <c r="M621" i="3" s="1"/>
  <c r="M620" i="3" s="1"/>
  <c r="M805" i="3" s="1"/>
  <c r="M211" i="19"/>
  <c r="M781" i="3"/>
  <c r="M66" i="3"/>
  <c r="M55" i="3" s="1"/>
  <c r="M294" i="3"/>
  <c r="M286" i="3" s="1"/>
  <c r="M285" i="3" s="1"/>
  <c r="M716" i="3"/>
  <c r="M715" i="3" s="1"/>
  <c r="M714" i="3" s="1"/>
  <c r="M713" i="3" s="1"/>
  <c r="M800" i="3" s="1"/>
  <c r="M821" i="3"/>
  <c r="M220" i="3"/>
  <c r="M219" i="3" s="1"/>
  <c r="M614" i="3"/>
  <c r="M613" i="3" s="1"/>
  <c r="M24" i="3"/>
  <c r="M23" i="3" s="1"/>
  <c r="M590" i="19"/>
  <c r="E28" i="6" s="1"/>
  <c r="M602" i="19" l="1"/>
  <c r="E37" i="6" s="1"/>
  <c r="M801" i="3"/>
  <c r="D40" i="6" s="1"/>
  <c r="M16" i="3"/>
  <c r="M282" i="19"/>
  <c r="M600" i="19" s="1"/>
  <c r="E35" i="6" s="1"/>
  <c r="M404" i="3"/>
  <c r="M796" i="3" s="1"/>
  <c r="M426" i="3"/>
  <c r="M425" i="3" s="1"/>
  <c r="M797" i="3" s="1"/>
  <c r="D36" i="6" s="1"/>
  <c r="M579" i="19"/>
  <c r="E19" i="6" s="1"/>
  <c r="M18" i="19"/>
  <c r="M645" i="3"/>
  <c r="M637" i="3" s="1"/>
  <c r="M814" i="3"/>
  <c r="M359" i="19"/>
  <c r="M358" i="19" s="1"/>
  <c r="M357" i="19" s="1"/>
  <c r="M537" i="19"/>
  <c r="M536" i="19" s="1"/>
  <c r="E46" i="6"/>
  <c r="E44" i="6" s="1"/>
  <c r="M210" i="19"/>
  <c r="M583" i="19" s="1"/>
  <c r="E30" i="6"/>
  <c r="E27" i="6" s="1"/>
  <c r="M608" i="19"/>
  <c r="M419" i="19"/>
  <c r="M396" i="19" s="1"/>
  <c r="M791" i="3"/>
  <c r="M794" i="3" s="1"/>
  <c r="M339" i="3"/>
  <c r="M294" i="19"/>
  <c r="M601" i="19" s="1"/>
  <c r="E50" i="6"/>
  <c r="E49" i="6" s="1"/>
  <c r="E32" i="6"/>
  <c r="E31" i="6" s="1"/>
  <c r="M810" i="3"/>
  <c r="M812" i="3" s="1"/>
  <c r="M733" i="3"/>
  <c r="M732" i="3" s="1"/>
  <c r="M112" i="19"/>
  <c r="M587" i="19"/>
  <c r="M107" i="3"/>
  <c r="M782" i="3" s="1"/>
  <c r="D26" i="6" s="1"/>
  <c r="M712" i="3"/>
  <c r="M695" i="3" s="1"/>
  <c r="M593" i="3"/>
  <c r="M592" i="3" s="1"/>
  <c r="M804" i="3" s="1"/>
  <c r="M806" i="3" s="1"/>
  <c r="M128" i="3"/>
  <c r="M774" i="3"/>
  <c r="D19" i="6" s="1"/>
  <c r="M17" i="19" l="1"/>
  <c r="M778" i="3"/>
  <c r="D23" i="6" s="1"/>
  <c r="M783" i="3"/>
  <c r="M605" i="19"/>
  <c r="E40" i="6" s="1"/>
  <c r="E36" i="6"/>
  <c r="M281" i="19"/>
  <c r="M267" i="19" s="1"/>
  <c r="M209" i="19"/>
  <c r="M208" i="19" s="1"/>
  <c r="M615" i="19"/>
  <c r="E23" i="6"/>
  <c r="E17" i="6" s="1"/>
  <c r="M584" i="19"/>
  <c r="M593" i="19"/>
  <c r="M788" i="3"/>
  <c r="E42" i="6"/>
  <c r="E41" i="6" s="1"/>
  <c r="M610" i="19"/>
  <c r="M588" i="19"/>
  <c r="E26" i="6"/>
  <c r="M94" i="3"/>
  <c r="M15" i="3" s="1"/>
  <c r="M591" i="3"/>
  <c r="M556" i="3" s="1"/>
  <c r="M284" i="3" l="1"/>
  <c r="M283" i="3" s="1"/>
  <c r="M606" i="19"/>
  <c r="M16" i="19"/>
  <c r="E34" i="6"/>
  <c r="M779" i="3"/>
  <c r="H99" i="7"/>
  <c r="H98" i="7" s="1"/>
  <c r="D27" i="8" l="1"/>
  <c r="D26" i="8" s="1"/>
  <c r="D25" i="8" s="1"/>
  <c r="D24" i="8" s="1"/>
  <c r="I266" i="18"/>
  <c r="I265" i="18" s="1"/>
  <c r="I264" i="18" s="1"/>
  <c r="H266" i="18"/>
  <c r="H265" i="18" s="1"/>
  <c r="H264" i="18" s="1"/>
  <c r="N214" i="19"/>
  <c r="N213" i="19" s="1"/>
  <c r="C26" i="2" l="1"/>
  <c r="H69" i="7" l="1"/>
  <c r="H70" i="7"/>
  <c r="H68" i="7" l="1"/>
  <c r="H232" i="7" l="1"/>
  <c r="H230" i="7" l="1"/>
  <c r="H483" i="7" l="1"/>
  <c r="H258" i="7" l="1"/>
  <c r="H107" i="18" l="1"/>
  <c r="H106" i="18" s="1"/>
  <c r="I107" i="18"/>
  <c r="I106" i="18" s="1"/>
  <c r="H20" i="7" l="1"/>
  <c r="H19" i="7" s="1"/>
  <c r="H43" i="7"/>
  <c r="H41" i="7" s="1"/>
  <c r="H159" i="7" l="1"/>
  <c r="H158" i="7" s="1"/>
  <c r="C74" i="2" l="1"/>
  <c r="C73" i="2" s="1"/>
  <c r="H430" i="7" l="1"/>
  <c r="H429" i="7" s="1"/>
  <c r="I27" i="18" l="1"/>
  <c r="I29" i="18"/>
  <c r="I88" i="18"/>
  <c r="I130" i="18"/>
  <c r="I129" i="18" s="1"/>
  <c r="I143" i="18"/>
  <c r="I140" i="18" s="1"/>
  <c r="I162" i="18"/>
  <c r="I161" i="18" s="1"/>
  <c r="I160" i="18" s="1"/>
  <c r="I180" i="18"/>
  <c r="I222" i="18"/>
  <c r="I224" i="18"/>
  <c r="I254" i="18"/>
  <c r="I253" i="18" s="1"/>
  <c r="I321" i="18"/>
  <c r="I320" i="18" s="1"/>
  <c r="I333" i="18"/>
  <c r="I332" i="18" s="1"/>
  <c r="I336" i="18"/>
  <c r="I335" i="18" s="1"/>
  <c r="I342" i="18"/>
  <c r="I341" i="18" s="1"/>
  <c r="I340" i="18" s="1"/>
  <c r="I339" i="18" s="1"/>
  <c r="I352" i="18"/>
  <c r="I351" i="18" s="1"/>
  <c r="I350" i="18" s="1"/>
  <c r="I345" i="18" s="1"/>
  <c r="I370" i="18"/>
  <c r="I369" i="18" s="1"/>
  <c r="I377" i="18"/>
  <c r="I379" i="18"/>
  <c r="I381" i="18"/>
  <c r="I383" i="18"/>
  <c r="I422" i="18"/>
  <c r="H88" i="18"/>
  <c r="H72" i="18" s="1"/>
  <c r="N381" i="19"/>
  <c r="N380" i="19" s="1"/>
  <c r="N379" i="19" s="1"/>
  <c r="N378" i="19" s="1"/>
  <c r="N377" i="19" s="1"/>
  <c r="N376" i="19" s="1"/>
  <c r="N361" i="19"/>
  <c r="N355" i="19"/>
  <c r="N343" i="19" s="1"/>
  <c r="N337" i="19"/>
  <c r="N336" i="19" s="1"/>
  <c r="N317" i="19"/>
  <c r="N309" i="19"/>
  <c r="N292" i="19"/>
  <c r="N290" i="19"/>
  <c r="I18" i="18"/>
  <c r="I221" i="18" l="1"/>
  <c r="I220" i="18" s="1"/>
  <c r="I403" i="18"/>
  <c r="I402" i="18" s="1"/>
  <c r="I139" i="18"/>
  <c r="I356" i="18"/>
  <c r="I355" i="18" s="1"/>
  <c r="I199" i="18"/>
  <c r="I198" i="18" s="1"/>
  <c r="I197" i="18" s="1"/>
  <c r="I415" i="18"/>
  <c r="I414" i="18" s="1"/>
  <c r="I421" i="18"/>
  <c r="I420" i="18" s="1"/>
  <c r="H96" i="18"/>
  <c r="N286" i="19"/>
  <c r="N285" i="19" s="1"/>
  <c r="N298" i="19"/>
  <c r="I290" i="18"/>
  <c r="I314" i="18"/>
  <c r="I293" i="18"/>
  <c r="I92" i="18"/>
  <c r="I235" i="18"/>
  <c r="I234" i="18" s="1"/>
  <c r="I233" i="18" s="1"/>
  <c r="I270" i="18"/>
  <c r="I169" i="18"/>
  <c r="I168" i="18" s="1"/>
  <c r="I247" i="18"/>
  <c r="I246" i="18" s="1"/>
  <c r="I205" i="18"/>
  <c r="I204" i="18" s="1"/>
  <c r="I137" i="18"/>
  <c r="I136" i="18" s="1"/>
  <c r="I44" i="18"/>
  <c r="I32" i="18"/>
  <c r="I24" i="18"/>
  <c r="I17" i="18" s="1"/>
  <c r="I317" i="18"/>
  <c r="I311" i="18"/>
  <c r="I52" i="18"/>
  <c r="I373" i="18"/>
  <c r="I274" i="18"/>
  <c r="I174" i="18"/>
  <c r="I173" i="18" s="1"/>
  <c r="I48" i="18"/>
  <c r="I298" i="18"/>
  <c r="I301" i="18"/>
  <c r="I147" i="18"/>
  <c r="I73" i="18"/>
  <c r="I72" i="18" s="1"/>
  <c r="I331" i="18"/>
  <c r="I330" i="18" s="1"/>
  <c r="N313" i="19"/>
  <c r="I96" i="18"/>
  <c r="N297" i="19" l="1"/>
  <c r="N296" i="19" s="1"/>
  <c r="I289" i="18"/>
  <c r="I31" i="18"/>
  <c r="I16" i="18" s="1"/>
  <c r="I91" i="18"/>
  <c r="I90" i="18" s="1"/>
  <c r="I203" i="18"/>
  <c r="I196" i="18" s="1"/>
  <c r="I372" i="18"/>
  <c r="I368" i="18" s="1"/>
  <c r="I167" i="18"/>
  <c r="I159" i="18" s="1"/>
  <c r="I71" i="18"/>
  <c r="H226" i="18"/>
  <c r="N284" i="19"/>
  <c r="N283" i="19" s="1"/>
  <c r="N282" i="19" s="1"/>
  <c r="I226" i="18"/>
  <c r="I219" i="18" s="1"/>
  <c r="I269" i="18"/>
  <c r="I268" i="18" s="1"/>
  <c r="I263" i="18" s="1"/>
  <c r="I245" i="18"/>
  <c r="I244" i="18" s="1"/>
  <c r="I310" i="18"/>
  <c r="N365" i="19"/>
  <c r="N360" i="19" s="1"/>
  <c r="N600" i="19" l="1"/>
  <c r="F35" i="6" s="1"/>
  <c r="I367" i="18"/>
  <c r="N342" i="19"/>
  <c r="N341" i="19" s="1"/>
  <c r="N340" i="19" s="1"/>
  <c r="N295" i="19"/>
  <c r="I288" i="18"/>
  <c r="I287" i="18" s="1"/>
  <c r="I15" i="18"/>
  <c r="H525" i="7"/>
  <c r="H135" i="7"/>
  <c r="H134" i="7" s="1"/>
  <c r="H132" i="7"/>
  <c r="H131" i="7" s="1"/>
  <c r="H120" i="7"/>
  <c r="H110" i="7"/>
  <c r="H107" i="7"/>
  <c r="H105" i="7" s="1"/>
  <c r="H97" i="7"/>
  <c r="H63" i="7"/>
  <c r="H62" i="7"/>
  <c r="H60" i="7"/>
  <c r="H59" i="7"/>
  <c r="H58" i="7"/>
  <c r="H56" i="7"/>
  <c r="H55" i="7"/>
  <c r="H54" i="7"/>
  <c r="H37" i="7"/>
  <c r="H32" i="7"/>
  <c r="H30" i="7"/>
  <c r="H28" i="7"/>
  <c r="H27" i="7"/>
  <c r="H116" i="7"/>
  <c r="H46" i="7"/>
  <c r="H45" i="7"/>
  <c r="H39" i="7"/>
  <c r="H38" i="7"/>
  <c r="H53" i="7" l="1"/>
  <c r="H44" i="7"/>
  <c r="H57" i="7"/>
  <c r="H61" i="7"/>
  <c r="H26" i="7"/>
  <c r="N359" i="19"/>
  <c r="N358" i="19" s="1"/>
  <c r="N357" i="19" s="1"/>
  <c r="H95" i="7"/>
  <c r="N294" i="19"/>
  <c r="N601" i="19" s="1"/>
  <c r="F36" i="6" s="1"/>
  <c r="H115" i="7"/>
  <c r="H121" i="7"/>
  <c r="H40" i="7"/>
  <c r="H36" i="7" s="1"/>
  <c r="H18" i="7"/>
  <c r="H22" i="7"/>
  <c r="H118" i="7"/>
  <c r="H114" i="7"/>
  <c r="H35" i="7" l="1"/>
  <c r="H117" i="7"/>
  <c r="H113" i="7"/>
  <c r="N281" i="19"/>
  <c r="N267" i="19" s="1"/>
  <c r="H383" i="18"/>
  <c r="H352" i="18"/>
  <c r="H351" i="18" s="1"/>
  <c r="H350" i="18" s="1"/>
  <c r="H345" i="18" s="1"/>
  <c r="H321" i="18"/>
  <c r="H320" i="18" s="1"/>
  <c r="H112" i="7" l="1"/>
  <c r="H111" i="7" s="1"/>
  <c r="H403" i="18"/>
  <c r="H356" i="18"/>
  <c r="H355" i="18" s="1"/>
  <c r="H415" i="18"/>
  <c r="H414" i="18" s="1"/>
  <c r="D35" i="6"/>
  <c r="H373" i="18"/>
  <c r="H270" i="18"/>
  <c r="H224" i="18"/>
  <c r="H222" i="18"/>
  <c r="H180" i="18"/>
  <c r="H143" i="18"/>
  <c r="H140" i="18" s="1"/>
  <c r="H136" i="18" l="1"/>
  <c r="H221" i="18"/>
  <c r="H139" i="18"/>
  <c r="H199" i="18"/>
  <c r="H235" i="18"/>
  <c r="H151" i="18"/>
  <c r="H147" i="18"/>
  <c r="H551" i="7" l="1"/>
  <c r="H536" i="7"/>
  <c r="H535" i="7" s="1"/>
  <c r="H532" i="7"/>
  <c r="H531" i="7"/>
  <c r="H530" i="7"/>
  <c r="H503" i="7"/>
  <c r="H502" i="7"/>
  <c r="H499" i="7"/>
  <c r="H497" i="7"/>
  <c r="H493" i="7"/>
  <c r="H492" i="7" s="1"/>
  <c r="H487" i="7" s="1"/>
  <c r="H480" i="7"/>
  <c r="H478" i="7"/>
  <c r="H476" i="7"/>
  <c r="H472" i="7"/>
  <c r="H471" i="7"/>
  <c r="H470" i="7"/>
  <c r="H467" i="7"/>
  <c r="H455" i="7"/>
  <c r="H449" i="7"/>
  <c r="H445" i="7"/>
  <c r="H439" i="7"/>
  <c r="H433" i="7"/>
  <c r="H416" i="7"/>
  <c r="H407" i="7"/>
  <c r="H401" i="7"/>
  <c r="H400" i="7"/>
  <c r="H398" i="7"/>
  <c r="H397" i="7"/>
  <c r="H388" i="7"/>
  <c r="H387" i="7"/>
  <c r="H385" i="7"/>
  <c r="H384" i="7"/>
  <c r="H380" i="7"/>
  <c r="H379" i="7"/>
  <c r="H377" i="7"/>
  <c r="H376" i="7"/>
  <c r="H365" i="7"/>
  <c r="H362" i="7"/>
  <c r="H361" i="7" s="1"/>
  <c r="H360" i="7" s="1"/>
  <c r="H359" i="7"/>
  <c r="H355" i="7"/>
  <c r="H354" i="7"/>
  <c r="H353" i="7"/>
  <c r="H351" i="7"/>
  <c r="H350" i="7"/>
  <c r="H349" i="7"/>
  <c r="H344" i="7"/>
  <c r="H342" i="7"/>
  <c r="H328" i="7"/>
  <c r="H323" i="7"/>
  <c r="H316" i="7"/>
  <c r="H315" i="7"/>
  <c r="H314" i="7"/>
  <c r="H304" i="7"/>
  <c r="H302" i="7"/>
  <c r="H298" i="7"/>
  <c r="H295" i="7"/>
  <c r="H289" i="7"/>
  <c r="H287" i="7"/>
  <c r="H285" i="7"/>
  <c r="H283" i="7"/>
  <c r="H266" i="7"/>
  <c r="H265" i="7"/>
  <c r="H264" i="7"/>
  <c r="H260" i="7"/>
  <c r="H259" i="7" s="1"/>
  <c r="H257" i="7"/>
  <c r="H256" i="7"/>
  <c r="H236" i="7"/>
  <c r="H224" i="7"/>
  <c r="H223" i="7"/>
  <c r="H222" i="7"/>
  <c r="H217" i="7"/>
  <c r="H204" i="7"/>
  <c r="H203" i="7"/>
  <c r="H202" i="7"/>
  <c r="H199" i="7"/>
  <c r="H200" i="7"/>
  <c r="H198" i="7"/>
  <c r="H194" i="7"/>
  <c r="H193" i="7" s="1"/>
  <c r="H182" i="7"/>
  <c r="H181" i="7"/>
  <c r="H180" i="7"/>
  <c r="H175" i="7"/>
  <c r="H174" i="7" s="1"/>
  <c r="H169" i="7"/>
  <c r="H166" i="7"/>
  <c r="H155" i="7"/>
  <c r="H263" i="7" l="1"/>
  <c r="H262" i="7" s="1"/>
  <c r="H261" i="7" s="1"/>
  <c r="H399" i="7"/>
  <c r="H378" i="7"/>
  <c r="H396" i="7"/>
  <c r="H386" i="7"/>
  <c r="H375" i="7"/>
  <c r="H383" i="7"/>
  <c r="H469" i="7"/>
  <c r="H529" i="7"/>
  <c r="H528" i="7" s="1"/>
  <c r="H501" i="7"/>
  <c r="H226" i="7"/>
  <c r="H225" i="7" s="1"/>
  <c r="H364" i="7"/>
  <c r="H363" i="7" s="1"/>
  <c r="H255" i="7"/>
  <c r="B15" i="9"/>
  <c r="B14" i="9" s="1"/>
  <c r="H374" i="7" l="1"/>
  <c r="I122" i="18"/>
  <c r="D17" i="16"/>
  <c r="D16" i="16" s="1"/>
  <c r="E37" i="5" s="1"/>
  <c r="D43" i="16"/>
  <c r="D33" i="16" s="1"/>
  <c r="D49" i="16"/>
  <c r="D53" i="16"/>
  <c r="C53" i="16"/>
  <c r="C49" i="16"/>
  <c r="C43" i="16"/>
  <c r="C33" i="16" s="1"/>
  <c r="C25" i="16"/>
  <c r="C19" i="16" s="1"/>
  <c r="C17" i="16"/>
  <c r="C16" i="16" s="1"/>
  <c r="C34" i="2"/>
  <c r="C22" i="2"/>
  <c r="C21" i="2" l="1"/>
  <c r="C38" i="5"/>
  <c r="D37" i="5"/>
  <c r="E38" i="5"/>
  <c r="D38" i="5"/>
  <c r="I121" i="18"/>
  <c r="I120" i="18" s="1"/>
  <c r="D32" i="16"/>
  <c r="D31" i="16" s="1"/>
  <c r="C32" i="16"/>
  <c r="C31" i="16" s="1"/>
  <c r="C61" i="2"/>
  <c r="C43" i="2" s="1"/>
  <c r="C17" i="2"/>
  <c r="C16" i="2" s="1"/>
  <c r="C15" i="2" s="1"/>
  <c r="C15" i="16" l="1"/>
  <c r="D15" i="16"/>
  <c r="D14" i="16" s="1"/>
  <c r="E39" i="5"/>
  <c r="E36" i="5" s="1"/>
  <c r="E35" i="5" s="1"/>
  <c r="C37" i="5"/>
  <c r="D39" i="5" l="1"/>
  <c r="M577" i="19" s="1"/>
  <c r="E47" i="5"/>
  <c r="E23" i="8" s="1"/>
  <c r="E22" i="8" s="1"/>
  <c r="E21" i="8" s="1"/>
  <c r="E20" i="8" s="1"/>
  <c r="C14" i="16"/>
  <c r="N262" i="19"/>
  <c r="N261" i="19" s="1"/>
  <c r="N240" i="19"/>
  <c r="N239" i="19" s="1"/>
  <c r="N238" i="19" s="1"/>
  <c r="N222" i="19"/>
  <c r="N218" i="19"/>
  <c r="D36" i="5" l="1"/>
  <c r="D35" i="5" s="1"/>
  <c r="C39" i="5"/>
  <c r="C36" i="5" s="1"/>
  <c r="N217" i="19"/>
  <c r="N216" i="19" s="1"/>
  <c r="N212" i="19"/>
  <c r="F32" i="6"/>
  <c r="F31" i="6" s="1"/>
  <c r="H340" i="7"/>
  <c r="N260" i="19"/>
  <c r="N259" i="19" s="1"/>
  <c r="N258" i="19" s="1"/>
  <c r="N257" i="19" s="1"/>
  <c r="I151" i="18"/>
  <c r="I146" i="18" s="1"/>
  <c r="N443" i="19"/>
  <c r="N430" i="19"/>
  <c r="N424" i="19"/>
  <c r="N423" i="19" s="1"/>
  <c r="N409" i="19"/>
  <c r="C35" i="5" l="1"/>
  <c r="C47" i="5" s="1"/>
  <c r="C23" i="8" s="1"/>
  <c r="D47" i="5"/>
  <c r="D23" i="8" s="1"/>
  <c r="D22" i="8" s="1"/>
  <c r="D21" i="8" s="1"/>
  <c r="D20" i="8" s="1"/>
  <c r="N408" i="19"/>
  <c r="N407" i="19" s="1"/>
  <c r="N406" i="19" s="1"/>
  <c r="I145" i="18"/>
  <c r="I119" i="18" s="1"/>
  <c r="N211" i="19"/>
  <c r="N447" i="19"/>
  <c r="N442" i="19" s="1"/>
  <c r="N441" i="19" s="1"/>
  <c r="N440" i="19" s="1"/>
  <c r="N439" i="19" s="1"/>
  <c r="N609" i="19" s="1"/>
  <c r="F43" i="6" s="1"/>
  <c r="H173" i="7"/>
  <c r="H192" i="7"/>
  <c r="H190" i="7" s="1"/>
  <c r="N422" i="19"/>
  <c r="D43" i="6"/>
  <c r="D19" i="8" l="1"/>
  <c r="D14" i="8" s="1"/>
  <c r="I434" i="18"/>
  <c r="N210" i="19"/>
  <c r="N583" i="19" s="1"/>
  <c r="F23" i="6" s="1"/>
  <c r="N421" i="19"/>
  <c r="N420" i="19" s="1"/>
  <c r="N405" i="19"/>
  <c r="D32" i="6"/>
  <c r="D31" i="6" s="1"/>
  <c r="N155" i="19"/>
  <c r="N154" i="19" s="1"/>
  <c r="N153" i="19" s="1"/>
  <c r="N152" i="19" s="1"/>
  <c r="N151" i="19" s="1"/>
  <c r="N150" i="19" s="1"/>
  <c r="N136" i="19"/>
  <c r="N135" i="19" s="1"/>
  <c r="N134" i="19" s="1"/>
  <c r="N129" i="19" s="1"/>
  <c r="N126" i="19"/>
  <c r="N125" i="19" s="1"/>
  <c r="N124" i="19" s="1"/>
  <c r="N123" i="19" s="1"/>
  <c r="N122" i="19" s="1"/>
  <c r="N591" i="19" s="1"/>
  <c r="F29" i="6" s="1"/>
  <c r="N120" i="19"/>
  <c r="N119" i="19" s="1"/>
  <c r="N117" i="19"/>
  <c r="N116" i="19" s="1"/>
  <c r="N104" i="19"/>
  <c r="N103" i="19" s="1"/>
  <c r="N102" i="19" s="1"/>
  <c r="N94" i="19" s="1"/>
  <c r="N91" i="19"/>
  <c r="N89" i="19"/>
  <c r="N52" i="19"/>
  <c r="N47" i="19"/>
  <c r="N46" i="19" s="1"/>
  <c r="N45" i="19" s="1"/>
  <c r="N44" i="19" s="1"/>
  <c r="N43" i="19" s="1"/>
  <c r="N580" i="19" s="1"/>
  <c r="F20" i="6" s="1"/>
  <c r="N35" i="19"/>
  <c r="N33" i="19"/>
  <c r="N29" i="19"/>
  <c r="N23" i="19"/>
  <c r="N22" i="19" s="1"/>
  <c r="N21" i="19" s="1"/>
  <c r="N20" i="19" s="1"/>
  <c r="N19" i="19" s="1"/>
  <c r="D29" i="6"/>
  <c r="D27" i="6" s="1"/>
  <c r="D20" i="6"/>
  <c r="D18" i="6"/>
  <c r="N28" i="19" l="1"/>
  <c r="N602" i="19"/>
  <c r="F37" i="6" s="1"/>
  <c r="N404" i="19"/>
  <c r="N209" i="19"/>
  <c r="N208" i="19" s="1"/>
  <c r="N608" i="19"/>
  <c r="F42" i="6" s="1"/>
  <c r="F41" i="6" s="1"/>
  <c r="N419" i="19"/>
  <c r="N88" i="19"/>
  <c r="N87" i="19" s="1"/>
  <c r="N86" i="19" s="1"/>
  <c r="N85" i="19" s="1"/>
  <c r="N139" i="19"/>
  <c r="N138" i="19" s="1"/>
  <c r="N128" i="19" s="1"/>
  <c r="N93" i="19"/>
  <c r="N587" i="19" s="1"/>
  <c r="F26" i="6" s="1"/>
  <c r="N578" i="19"/>
  <c r="F18" i="6" s="1"/>
  <c r="N51" i="19"/>
  <c r="N50" i="19" s="1"/>
  <c r="N49" i="19" s="1"/>
  <c r="N582" i="19" s="1"/>
  <c r="F22" i="6" s="1"/>
  <c r="D22" i="6"/>
  <c r="D45" i="6"/>
  <c r="N612" i="19"/>
  <c r="F45" i="6" s="1"/>
  <c r="H303" i="7"/>
  <c r="H301" i="7" s="1"/>
  <c r="N115" i="19"/>
  <c r="N114" i="19" s="1"/>
  <c r="N113" i="19" s="1"/>
  <c r="N590" i="19" s="1"/>
  <c r="F28" i="6" s="1"/>
  <c r="N27" i="19" l="1"/>
  <c r="N26" i="19" s="1"/>
  <c r="N25" i="19" s="1"/>
  <c r="N592" i="19"/>
  <c r="N396" i="19"/>
  <c r="D25" i="6"/>
  <c r="D42" i="6"/>
  <c r="D41" i="6" s="1"/>
  <c r="N84" i="19"/>
  <c r="N586" i="19"/>
  <c r="F25" i="6" s="1"/>
  <c r="F24" i="6" s="1"/>
  <c r="N579" i="19" l="1"/>
  <c r="F19" i="6" s="1"/>
  <c r="N18" i="19"/>
  <c r="F30" i="6"/>
  <c r="F27" i="6" s="1"/>
  <c r="N112" i="19"/>
  <c r="E24" i="6"/>
  <c r="E15" i="6" s="1"/>
  <c r="N195" i="19"/>
  <c r="N194" i="19" s="1"/>
  <c r="N193" i="19" s="1"/>
  <c r="N192" i="19" s="1"/>
  <c r="N191" i="19" s="1"/>
  <c r="N170" i="19"/>
  <c r="N169" i="19" s="1"/>
  <c r="N168" i="19" s="1"/>
  <c r="N167" i="19" s="1"/>
  <c r="N166" i="19" s="1"/>
  <c r="N165" i="19" s="1"/>
  <c r="N17" i="19" l="1"/>
  <c r="N190" i="19"/>
  <c r="N164" i="19" s="1"/>
  <c r="N626" i="19"/>
  <c r="F57" i="6" s="1"/>
  <c r="F56" i="6" s="1"/>
  <c r="I413" i="18"/>
  <c r="I438" i="18" l="1"/>
  <c r="N201" i="19"/>
  <c r="N200" i="19" s="1"/>
  <c r="N199" i="19" s="1"/>
  <c r="N198" i="19" s="1"/>
  <c r="N499" i="19"/>
  <c r="N498" i="19" s="1"/>
  <c r="N497" i="19" s="1"/>
  <c r="N496" i="19" s="1"/>
  <c r="N495" i="19" s="1"/>
  <c r="N461" i="19" l="1"/>
  <c r="N617" i="19" s="1"/>
  <c r="N620" i="19"/>
  <c r="F53" i="6" s="1"/>
  <c r="N581" i="19"/>
  <c r="F21" i="6" s="1"/>
  <c r="F17" i="6" s="1"/>
  <c r="N460" i="19" l="1"/>
  <c r="N452" i="19" s="1"/>
  <c r="F50" i="6"/>
  <c r="F49" i="6" s="1"/>
  <c r="N531" i="19"/>
  <c r="N530" i="19" s="1"/>
  <c r="N529" i="19" s="1"/>
  <c r="N528" i="19" s="1"/>
  <c r="N527" i="19" s="1"/>
  <c r="N605" i="19" s="1"/>
  <c r="N521" i="19"/>
  <c r="N520" i="19" s="1"/>
  <c r="N519" i="19" s="1"/>
  <c r="N604" i="19" s="1"/>
  <c r="F40" i="6" l="1"/>
  <c r="N518" i="19"/>
  <c r="N504" i="19" s="1"/>
  <c r="N563" i="19"/>
  <c r="N553" i="19"/>
  <c r="N542" i="19"/>
  <c r="N541" i="19" l="1"/>
  <c r="N540" i="19" s="1"/>
  <c r="F39" i="6"/>
  <c r="F34" i="6" s="1"/>
  <c r="N559" i="19"/>
  <c r="N558" i="19" s="1"/>
  <c r="N557" i="19" s="1"/>
  <c r="N556" i="19" s="1"/>
  <c r="N539" i="19" l="1"/>
  <c r="N538" i="19" s="1"/>
  <c r="H15" i="6"/>
  <c r="N614" i="19"/>
  <c r="F48" i="6" s="1"/>
  <c r="N613" i="19" l="1"/>
  <c r="F46" i="6" s="1"/>
  <c r="F44" i="6" s="1"/>
  <c r="N537" i="19"/>
  <c r="N536" i="19" s="1"/>
  <c r="D48" i="6"/>
  <c r="D53" i="6" l="1"/>
  <c r="D51" i="6" l="1"/>
  <c r="D46" i="6"/>
  <c r="D44" i="6" s="1"/>
  <c r="D50" i="6" l="1"/>
  <c r="D57" i="6" l="1"/>
  <c r="D56" i="6" s="1"/>
  <c r="D39" i="6"/>
  <c r="H524" i="7"/>
  <c r="H523" i="7" s="1"/>
  <c r="H522" i="7" s="1"/>
  <c r="H521" i="7" s="1"/>
  <c r="D21" i="6" l="1"/>
  <c r="H415" i="7"/>
  <c r="H414" i="7" s="1"/>
  <c r="H377" i="18" l="1"/>
  <c r="H475" i="7" l="1"/>
  <c r="H21" i="7" l="1"/>
  <c r="H109" i="7" l="1"/>
  <c r="H108" i="7" s="1"/>
  <c r="H179" i="7" l="1"/>
  <c r="H178" i="7" s="1"/>
  <c r="N624" i="19" l="1"/>
  <c r="H341" i="7" l="1"/>
  <c r="H358" i="7"/>
  <c r="H413" i="7" l="1"/>
  <c r="H412" i="7" s="1"/>
  <c r="I426" i="18" l="1"/>
  <c r="I425" i="18" s="1"/>
  <c r="I14" i="18" s="1"/>
  <c r="H426" i="18"/>
  <c r="H425" i="18" s="1"/>
  <c r="H441" i="18" s="1"/>
  <c r="H274" i="18"/>
  <c r="H269" i="18" s="1"/>
  <c r="H268" i="18" s="1"/>
  <c r="H247" i="18"/>
  <c r="H246" i="18" s="1"/>
  <c r="I441" i="18" l="1"/>
  <c r="H198" i="18" l="1"/>
  <c r="H52" i="18"/>
  <c r="H44" i="18"/>
  <c r="H29" i="18"/>
  <c r="H27" i="18"/>
  <c r="H18" i="18"/>
  <c r="H422" i="18"/>
  <c r="H402" i="18"/>
  <c r="H381" i="18"/>
  <c r="H379" i="18"/>
  <c r="H370" i="18"/>
  <c r="H369" i="18" s="1"/>
  <c r="H342" i="18"/>
  <c r="H341" i="18" s="1"/>
  <c r="H340" i="18" s="1"/>
  <c r="H339" i="18" s="1"/>
  <c r="H336" i="18"/>
  <c r="H335" i="18" s="1"/>
  <c r="H333" i="18"/>
  <c r="H332" i="18" s="1"/>
  <c r="H317" i="18"/>
  <c r="H314" i="18"/>
  <c r="H311" i="18"/>
  <c r="H301" i="18"/>
  <c r="H298" i="18"/>
  <c r="H293" i="18"/>
  <c r="H290" i="18"/>
  <c r="H254" i="18"/>
  <c r="H253" i="18" s="1"/>
  <c r="H234" i="18"/>
  <c r="H233" i="18" s="1"/>
  <c r="H204" i="18"/>
  <c r="H203" i="18" s="1"/>
  <c r="H174" i="18"/>
  <c r="H173" i="18" s="1"/>
  <c r="H168" i="18"/>
  <c r="H130" i="18"/>
  <c r="H129" i="18" s="1"/>
  <c r="H122" i="18"/>
  <c r="H121" i="18" s="1"/>
  <c r="H289" i="18" l="1"/>
  <c r="H120" i="18"/>
  <c r="H372" i="18"/>
  <c r="H368" i="18" s="1"/>
  <c r="H167" i="18"/>
  <c r="H159" i="18" s="1"/>
  <c r="H245" i="18"/>
  <c r="H421" i="18"/>
  <c r="H420" i="18" s="1"/>
  <c r="H220" i="18"/>
  <c r="H219" i="18" s="1"/>
  <c r="H32" i="18"/>
  <c r="H413" i="18"/>
  <c r="H146" i="18"/>
  <c r="H145" i="18" s="1"/>
  <c r="H197" i="18"/>
  <c r="H48" i="18"/>
  <c r="H31" i="18" s="1"/>
  <c r="H92" i="18"/>
  <c r="H91" i="18" s="1"/>
  <c r="H24" i="18"/>
  <c r="H17" i="18" s="1"/>
  <c r="H331" i="18"/>
  <c r="H330" i="18" s="1"/>
  <c r="H263" i="18"/>
  <c r="H310" i="18"/>
  <c r="H16" i="18" l="1"/>
  <c r="H196" i="18"/>
  <c r="H438" i="18"/>
  <c r="H119" i="18"/>
  <c r="H71" i="18"/>
  <c r="H288" i="18"/>
  <c r="H287" i="18" s="1"/>
  <c r="H244" i="18"/>
  <c r="H90" i="18"/>
  <c r="H367" i="18"/>
  <c r="H15" i="18" l="1"/>
  <c r="H14" i="18" s="1"/>
  <c r="H434" i="18" l="1"/>
  <c r="H443" i="18" s="1"/>
  <c r="H439" i="18" s="1"/>
  <c r="K14" i="18"/>
  <c r="I443" i="18"/>
  <c r="I439" i="18" s="1"/>
  <c r="H327" i="7"/>
  <c r="H326" i="7" s="1"/>
  <c r="I436" i="18" l="1"/>
  <c r="I442" i="18"/>
  <c r="H442" i="18"/>
  <c r="H436" i="18"/>
  <c r="N569" i="19" l="1"/>
  <c r="N16" i="19" s="1"/>
  <c r="N577" i="19" s="1"/>
  <c r="L14" i="18" l="1"/>
  <c r="E27" i="8"/>
  <c r="E26" i="8" s="1"/>
  <c r="E25" i="8" s="1"/>
  <c r="E24" i="8" s="1"/>
  <c r="N629" i="19"/>
  <c r="F60" i="6" s="1"/>
  <c r="F59" i="6" s="1"/>
  <c r="E19" i="8" l="1"/>
  <c r="E14" i="8" s="1"/>
  <c r="F15" i="6"/>
  <c r="I15" i="6" s="1"/>
  <c r="N615" i="19"/>
  <c r="N627" i="19"/>
  <c r="N588" i="19"/>
  <c r="N598" i="19"/>
  <c r="N593" i="19" l="1"/>
  <c r="N610" i="19"/>
  <c r="N606" i="19"/>
  <c r="N621" i="19"/>
  <c r="N584" i="19"/>
  <c r="H550" i="7" l="1"/>
  <c r="H545" i="7" s="1"/>
  <c r="H544" i="7" l="1"/>
  <c r="H17" i="7"/>
  <c r="H343" i="7" l="1"/>
  <c r="H428" i="7" l="1"/>
  <c r="H286" i="7"/>
  <c r="H294" i="7"/>
  <c r="H291" i="7" s="1"/>
  <c r="H288" i="7"/>
  <c r="H498" i="7" l="1"/>
  <c r="H496" i="7"/>
  <c r="H477" i="7"/>
  <c r="H495" i="7" l="1"/>
  <c r="H406" i="7"/>
  <c r="H405" i="7" s="1"/>
  <c r="H460" i="7" l="1"/>
  <c r="H459" i="7" s="1"/>
  <c r="H458" i="7" s="1"/>
  <c r="H457" i="7" s="1"/>
  <c r="H454" i="7"/>
  <c r="H453" i="7" s="1"/>
  <c r="H448" i="7"/>
  <c r="H447" i="7" s="1"/>
  <c r="H446" i="7" s="1"/>
  <c r="H444" i="7"/>
  <c r="H438" i="7"/>
  <c r="H437" i="7" s="1"/>
  <c r="H432" i="7"/>
  <c r="H431" i="7" s="1"/>
  <c r="H452" i="7" l="1"/>
  <c r="H451" i="7" s="1"/>
  <c r="H436" i="7"/>
  <c r="H443" i="7"/>
  <c r="H442" i="7" s="1"/>
  <c r="H339" i="7"/>
  <c r="H338" i="7" s="1"/>
  <c r="H297" i="7"/>
  <c r="H214" i="7"/>
  <c r="H337" i="7" l="1"/>
  <c r="H221" i="7"/>
  <c r="H220" i="7" s="1"/>
  <c r="H201" i="7"/>
  <c r="H300" i="7"/>
  <c r="H299" i="7" s="1"/>
  <c r="H197" i="7"/>
  <c r="H395" i="7"/>
  <c r="H313" i="7"/>
  <c r="H312" i="7" s="1"/>
  <c r="H172" i="7"/>
  <c r="H165" i="7"/>
  <c r="H164" i="7" s="1"/>
  <c r="H154" i="7"/>
  <c r="H153" i="7" s="1"/>
  <c r="H31" i="7"/>
  <c r="H29" i="7"/>
  <c r="H282" i="7"/>
  <c r="H373" i="7" l="1"/>
  <c r="H372" i="7" s="1"/>
  <c r="H16" i="7"/>
  <c r="H15" i="7" s="1"/>
  <c r="H196" i="7"/>
  <c r="H195" i="7" s="1"/>
  <c r="H189" i="7"/>
  <c r="H168" i="7"/>
  <c r="H167" i="7" s="1"/>
  <c r="H152" i="7" l="1"/>
  <c r="H188" i="7"/>
  <c r="H151" i="7" l="1"/>
  <c r="H500" i="7"/>
  <c r="H348" i="7"/>
  <c r="H352" i="7"/>
  <c r="H347" i="7" l="1"/>
  <c r="H346" i="7" s="1"/>
  <c r="H336" i="7" s="1"/>
  <c r="H219" i="7"/>
  <c r="H479" i="7" l="1"/>
  <c r="H284" i="7"/>
  <c r="H281" i="7" s="1"/>
  <c r="H280" i="7" s="1"/>
  <c r="H527" i="7" l="1"/>
  <c r="H567" i="7" s="1"/>
  <c r="D24" i="6"/>
  <c r="H441" i="7"/>
  <c r="H435" i="7"/>
  <c r="H427" i="7"/>
  <c r="H426" i="7" s="1"/>
  <c r="H322" i="7"/>
  <c r="H321" i="7" s="1"/>
  <c r="H296" i="7"/>
  <c r="H254" i="7"/>
  <c r="H253" i="7" s="1"/>
  <c r="H216" i="7"/>
  <c r="H213" i="7"/>
  <c r="H212" i="7" l="1"/>
  <c r="H211" i="7" s="1"/>
  <c r="H290" i="7"/>
  <c r="H279" i="7" s="1"/>
  <c r="H311" i="7"/>
  <c r="H310" i="7" l="1"/>
  <c r="H252" i="7" l="1"/>
  <c r="H466" i="7" l="1"/>
  <c r="H465" i="7" s="1"/>
  <c r="C14" i="2" l="1"/>
  <c r="H482" i="7" l="1"/>
  <c r="C22" i="8" l="1"/>
  <c r="C21" i="8" s="1"/>
  <c r="C20" i="8" s="1"/>
  <c r="H481" i="7"/>
  <c r="D17" i="6"/>
  <c r="H468" i="7" l="1"/>
  <c r="H464" i="7" s="1"/>
  <c r="H463" i="7" l="1"/>
  <c r="H88" i="7"/>
  <c r="H87" i="7" s="1"/>
  <c r="H86" i="7" l="1"/>
  <c r="H14" i="7" s="1"/>
  <c r="H13" i="7" s="1"/>
  <c r="H563" i="7" l="1"/>
  <c r="H565" i="7" l="1"/>
  <c r="H569" i="7"/>
  <c r="H568" i="7" s="1"/>
  <c r="M482" i="3" l="1"/>
  <c r="M481" i="3" s="1"/>
  <c r="M480" i="3" s="1"/>
  <c r="M403" i="3" l="1"/>
  <c r="M798" i="3"/>
  <c r="D37" i="6" l="1"/>
  <c r="D34" i="6" s="1"/>
  <c r="M802" i="3"/>
  <c r="M547" i="3"/>
  <c r="M546" i="3" s="1"/>
  <c r="M545" i="3" s="1"/>
  <c r="M816" i="3" s="1"/>
  <c r="M544" i="3" l="1"/>
  <c r="M386" i="3" s="1"/>
  <c r="M14" i="3" s="1"/>
  <c r="C27" i="8" s="1"/>
  <c r="M818" i="3" l="1"/>
  <c r="M827" i="3" s="1"/>
  <c r="D52" i="6"/>
  <c r="D49" i="6" s="1"/>
  <c r="D15" i="6" s="1"/>
  <c r="G15" i="6" s="1"/>
  <c r="C26" i="8"/>
  <c r="C25" i="8" s="1"/>
  <c r="C24" i="8" s="1"/>
  <c r="C19" i="8" s="1"/>
  <c r="C14" i="8" s="1"/>
  <c r="J13" i="7"/>
</calcChain>
</file>

<file path=xl/sharedStrings.xml><?xml version="1.0" encoding="utf-8"?>
<sst xmlns="http://schemas.openxmlformats.org/spreadsheetml/2006/main" count="15649" uniqueCount="698">
  <si>
    <t>Администрация муниципального образования Апшеронский район</t>
  </si>
  <si>
    <t>902</t>
  </si>
  <si>
    <t>Финансовое управление администрации муниципального образования Апшеронский район</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</si>
  <si>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</si>
  <si>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</si>
  <si>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</si>
  <si>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Управление имущественных отношений администрации муниципального образования Апшеронский район</t>
  </si>
  <si>
    <t>Управление образования администрации муниципального образования Апшеронский район</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</si>
  <si>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</si>
  <si>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Отдел культуры администрации муниципального образования Апшеронский район</t>
  </si>
  <si>
    <t>Отдел по физической культуре и спорту администрации муниципального образования Апшеронский район</t>
  </si>
  <si>
    <t>Отдел по делам молодежи администрации муниципального образования Апшеронский район</t>
  </si>
  <si>
    <t>Отдел по вопросам семьи и детства администрации муниципального образования Апшеронский район</t>
  </si>
  <si>
    <t>Код</t>
  </si>
  <si>
    <t>Наименование дохода</t>
  </si>
  <si>
    <t>Сумма</t>
  </si>
  <si>
    <t>2 00 00000 00 0000 000</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</si>
  <si>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</si>
  <si>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</si>
  <si>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</si>
  <si>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местным бюджетам на выполнение передаваемых полномочий субъектов Российской Федерации</t>
  </si>
  <si>
    <t>(тыс. рублей)</t>
  </si>
  <si>
    <t>№ п\п</t>
  </si>
  <si>
    <t>Наименование</t>
  </si>
  <si>
    <t>Вед</t>
  </si>
  <si>
    <t>РЗ</t>
  </si>
  <si>
    <t>ПР</t>
  </si>
  <si>
    <t>ЦСР</t>
  </si>
  <si>
    <t>ВР</t>
  </si>
  <si>
    <t>3</t>
  </si>
  <si>
    <t>4</t>
  </si>
  <si>
    <t>5</t>
  </si>
  <si>
    <t>6</t>
  </si>
  <si>
    <t>7</t>
  </si>
  <si>
    <t>Контрольно-счетная палата муниципального образования Апшеронский район</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</si>
  <si>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</si>
  <si>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</si>
  <si>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</si>
  <si>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</si>
  <si>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муниципального образования Апшеронский район "Организация муниципального управления"</t>
  </si>
  <si>
    <t>17</t>
  </si>
  <si>
    <t>0</t>
  </si>
  <si>
    <t>00</t>
  </si>
  <si>
    <t>00000</t>
  </si>
  <si>
    <t>1</t>
  </si>
  <si>
    <t xml:space="preserve">Обеспечение деятельности высшего должностного лица муниципального образования </t>
  </si>
  <si>
    <t>Расходы на обеспечение функций органов местного самоуправления</t>
  </si>
  <si>
    <t>00190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</si>
  <si>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</si>
  <si>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</si>
  <si>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04</t>
  </si>
  <si>
    <t>Муниципальная программа муниципального образования  Апшеронский район "Организация муниципального управления"</t>
  </si>
  <si>
    <t>Обеспечение деятельности администрации муниципального образования</t>
  </si>
  <si>
    <t>Закупка товаров, работ и услуг для обеспечения государственных (муниципальных) нужд</t>
  </si>
  <si>
    <t>200</t>
  </si>
  <si>
    <t>Иные бюджетные ассигнования</t>
  </si>
  <si>
    <t>800</t>
  </si>
  <si>
    <t>60870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</si>
  <si>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</si>
  <si>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60910</t>
  </si>
  <si>
    <t>Развитие муниципального управления</t>
  </si>
  <si>
    <t>03</t>
  </si>
  <si>
    <t>Административная реформа</t>
  </si>
  <si>
    <t>05</t>
  </si>
  <si>
    <t>Резервные фонды</t>
  </si>
  <si>
    <t>11</t>
  </si>
  <si>
    <t>99</t>
  </si>
  <si>
    <t>90010</t>
  </si>
  <si>
    <t>Другие общегосударственные вопросы</t>
  </si>
  <si>
    <t>13</t>
  </si>
  <si>
    <t>Муниципальная программа муниципального образования Апшеронский район "Поддержка социально ориентированных некоммерческих организаций"</t>
  </si>
  <si>
    <t>15</t>
  </si>
  <si>
    <t>Субсидии на поддержку социально ориентированных некоммерческих организаций</t>
  </si>
  <si>
    <t>11600</t>
  </si>
  <si>
    <t>Предоставление субсидий бюджетным, автономным учреждениям и иным некоммерческим организациям</t>
  </si>
  <si>
    <t>600</t>
  </si>
  <si>
    <t>Национальная безопасность и правоохранительная деятельность</t>
  </si>
  <si>
    <t>09</t>
  </si>
  <si>
    <t>Муниципальная программа муниципального образования Апшеронский район "Обеспечение безопасности населения"</t>
  </si>
  <si>
    <t>06</t>
  </si>
  <si>
    <t>Предупреждение и ликвидация чрезвычайных ситуаций, стихийных бедствий и их последствий в муниципальном образовании</t>
  </si>
  <si>
    <t>Обеспечение защиты населения и территории муниципального образования Апшеронский район от чрезвычайных ситуаций природного и техногенного характера</t>
  </si>
  <si>
    <t>10600</t>
  </si>
  <si>
    <t>Реализация мероприятий муниципальной программы "Обеспечение безопасности населения"</t>
  </si>
  <si>
    <t>10660</t>
  </si>
  <si>
    <t>Другие вопросы в области национальной безопасности и правоохранительной деятельности</t>
  </si>
  <si>
    <t>14</t>
  </si>
  <si>
    <t>2</t>
  </si>
  <si>
    <t>10610</t>
  </si>
  <si>
    <t>00590</t>
  </si>
  <si>
    <t>Национальная экономика</t>
  </si>
  <si>
    <t>Сельское хозяйство и рыболовство</t>
  </si>
  <si>
    <t xml:space="preserve">Муниципальная программа муниципального образования  Апшеронский район "Развитие сельского хозяйства" </t>
  </si>
  <si>
    <t>Развитие малых форм хозяйствования в АПК в муниципальном образовании Апшеронский район</t>
  </si>
  <si>
    <t>Обеспечение эпизоотического, ветеринарно-санитарного благополучия в муниципальном образовании Апшеронский район</t>
  </si>
  <si>
    <t>61650</t>
  </si>
  <si>
    <t>Дорожное хозяйство (дорожные фонды)</t>
  </si>
  <si>
    <t>Муниципальная программа муниципального образования Апшеронский район "Поддержка дорожного хозяйства"</t>
  </si>
  <si>
    <t>12</t>
  </si>
  <si>
    <t>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</si>
  <si>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</si>
  <si>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11300</t>
  </si>
  <si>
    <t>10</t>
  </si>
  <si>
    <t>11820</t>
  </si>
  <si>
    <t>Другие вопросы в области национальной экономики</t>
  </si>
  <si>
    <t>Муниципальная программа муниципального образования Апшеронский район "Экономическое развитие муниципального образования"</t>
  </si>
  <si>
    <t>Развитие малого и среднего предпринимательства в муниципальном образовании</t>
  </si>
  <si>
    <t>Финансовая поддержка субъектов малого и среднего предпринимательства</t>
  </si>
  <si>
    <t>Развитие и поддержка малого и среднего предпринимательства</t>
  </si>
  <si>
    <t>11400</t>
  </si>
  <si>
    <t>Инвестиционное развитие муниципального образования</t>
  </si>
  <si>
    <t>Создание условий для инвестиционного развития муниципального образования Апшеронский район</t>
  </si>
  <si>
    <t>Формирование и продвижение экономически и инвестиционно привлекательного образа муниципального образования Апшеронский район за его пределами</t>
  </si>
  <si>
    <t>11410</t>
  </si>
  <si>
    <t>Муниципальная программа муниципального образования Апшеронский район "Развитие санаторно-курортного и туристского комплекса"</t>
  </si>
  <si>
    <t xml:space="preserve">Реализация мероприятий муниципальной программы "Развитие санаторно-курортного и туристского комплекса" </t>
  </si>
  <si>
    <t>11500</t>
  </si>
  <si>
    <t>Социальная политика</t>
  </si>
  <si>
    <t>Социальное обеспечение и иные выплаты населению</t>
  </si>
  <si>
    <t>300</t>
  </si>
  <si>
    <t>Другие  вопросы в области социальной политики</t>
  </si>
  <si>
    <t>Межбюджетные трансферты</t>
  </si>
  <si>
    <t>500</t>
  </si>
  <si>
    <t>Профилактика терроризма и экстремизма в муниципальном образовании</t>
  </si>
  <si>
    <t>Организация физической охраны в здании администрации муниципального образования Апшеронский район</t>
  </si>
  <si>
    <t>Мероприятия по профилактике терроризма и экстремизма</t>
  </si>
  <si>
    <t>910</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</si>
  <si>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</si>
  <si>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Контрольно-счетной палаты муниципального образования</t>
  </si>
  <si>
    <t>51</t>
  </si>
  <si>
    <t>Контрольно-счетная палата муниципального образования</t>
  </si>
  <si>
    <t>20010</t>
  </si>
  <si>
    <t>1 00 00000 00 0000 000</t>
  </si>
  <si>
    <t>Налоговые и неналоговые доходы</t>
  </si>
  <si>
    <t>1 01 01000 00 0000 110</t>
  </si>
  <si>
    <t>Налог на прибыль организаций*</t>
  </si>
  <si>
    <t>1 01 02000 01 0000 110</t>
  </si>
  <si>
    <t>Налог на доходы физических лиц*</t>
  </si>
  <si>
    <t>1 03 02230 01 0000 110
1 03 02240 01 0000 110
1 03 02250 01 0000 110
1 03 02260 01 0000 110</t>
  </si>
  <si>
    <t>1 05 02000 02 0000 110</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</si>
  <si>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</si>
  <si>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</si>
  <si>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</si>
  <si>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</si>
  <si>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1 08 00000 00 0000 000</t>
  </si>
  <si>
    <t>Государственная пошлина*</t>
  </si>
  <si>
    <t>1 11 01050 05 0000 120</t>
  </si>
  <si>
    <t>1 11 05010 00 0000 120</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</si>
  <si>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</si>
  <si>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</si>
  <si>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</si>
  <si>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</si>
  <si>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</si>
  <si>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</si>
  <si>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Иные межбюджетные трансферты*</t>
  </si>
  <si>
    <t>Всего доходов</t>
  </si>
  <si>
    <t>Распределение бюджетных ассигнований по разделам и подразделам</t>
  </si>
  <si>
    <t>№ п/п</t>
  </si>
  <si>
    <t>Всего расходов</t>
  </si>
  <si>
    <t>в том числе:</t>
  </si>
  <si>
    <t>0100</t>
  </si>
  <si>
    <t>0102</t>
  </si>
  <si>
    <t xml:space="preserve">Функционирование высшего должностного лица субъекта Российской Федерации и муниципального образования   </t>
  </si>
  <si>
    <t>0104</t>
  </si>
  <si>
    <t>0106</t>
  </si>
  <si>
    <t>0111</t>
  </si>
  <si>
    <t>0113</t>
  </si>
  <si>
    <t>0300</t>
  </si>
  <si>
    <t>0314</t>
  </si>
  <si>
    <t>0400</t>
  </si>
  <si>
    <t>0405</t>
  </si>
  <si>
    <t>0409</t>
  </si>
  <si>
    <t>0412</t>
  </si>
  <si>
    <t>0500</t>
  </si>
  <si>
    <t>Жилищно-коммунальное хозяйство</t>
  </si>
  <si>
    <t>0700</t>
  </si>
  <si>
    <t>Образование</t>
  </si>
  <si>
    <t>0701</t>
  </si>
  <si>
    <t>Дошкольное образование</t>
  </si>
  <si>
    <t>0702</t>
  </si>
  <si>
    <t>Общее образование</t>
  </si>
  <si>
    <t>0707</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</si>
  <si>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</si>
  <si>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</si>
  <si>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</si>
  <si>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</si>
  <si>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</si>
  <si>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</si>
  <si>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</si>
  <si>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</si>
  <si>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Охрана семьи и детства</t>
  </si>
  <si>
    <t>Другие вопросы в области социальной политики</t>
  </si>
  <si>
    <t xml:space="preserve">Физическая культура и спорт </t>
  </si>
  <si>
    <t>1102</t>
  </si>
  <si>
    <t>Массовый спорт</t>
  </si>
  <si>
    <t>1105</t>
  </si>
  <si>
    <t>Другие вопросы в области физической культуры и спорта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</si>
  <si>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</si>
  <si>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</si>
  <si>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ВСЕГО</t>
  </si>
  <si>
    <t>Капитальные вложения в объекты государственной (муниципальной) собственности</t>
  </si>
  <si>
    <t>400</t>
  </si>
  <si>
    <t>Муниципальная программа муниципального образования Апшеронский район "Развитие образования"</t>
  </si>
  <si>
    <t>Развитие дошкольного и общего образования детей</t>
  </si>
  <si>
    <t>Мероприятия по повышению уровня безопасности  муниципальных образовательных учреждений</t>
  </si>
  <si>
    <t>Реализация мероприятий муниципальной программы "Развитие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</si>
  <si>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</si>
  <si>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Развитие дополнительного образования детей</t>
  </si>
  <si>
    <t>Стипендии главы муниципального образования Апшеронский район для одаренных детей</t>
  </si>
  <si>
    <t>Обеспечение реализации муниципальной программы и прочие мероприятия в области образования</t>
  </si>
  <si>
    <t>Муниципальная программа муниципального образования Апшеронский район "Развитие культуры"</t>
  </si>
  <si>
    <t>Совершенствование деятельности муниципальных учреждений отрасли "Культура и искусство" по предоставлению муниципальных услуг</t>
  </si>
  <si>
    <t>Обеспечение реализации муниципальной программы и прочие мероприятия в сфере культуры и искусства</t>
  </si>
  <si>
    <t>Муниципальная программа муниципального образования Апшеронский район "Развитие физической культуры и спорта"</t>
  </si>
  <si>
    <t>Развитие физической культуры и массового спорта</t>
  </si>
  <si>
    <t>Реализация мероприятий муниципальной программы "Развитие физической культуры и спорта"</t>
  </si>
  <si>
    <t>Управление реализацией муниципальной программы</t>
  </si>
  <si>
    <t>Муниципальная программа муниципального образования Апшеронский район "Развитие молодежной политики"</t>
  </si>
  <si>
    <t>Молодежь Апшеронского района</t>
  </si>
  <si>
    <t>Муниципальная программа муниципального образования Апшеронский район "Управление муниципальными финансами"</t>
  </si>
  <si>
    <t>07</t>
  </si>
  <si>
    <t>Муниципальная программа муниципального образования Апшеронский район "Управление муниципальным имуществом"</t>
  </si>
  <si>
    <t>08</t>
  </si>
  <si>
    <t>Повышение эффективности управления муниципальным имуществом и приватизации</t>
  </si>
  <si>
    <t>Оценка недвижимости, признание прав и регулирование отношений по муниципальной собственности</t>
  </si>
  <si>
    <t>Управление реализацией муниципальной программы и прочие мероприятия</t>
  </si>
  <si>
    <t xml:space="preserve">Муниципальная программа муниципального образования Апшеронский район "Социальная поддержка граждан" </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</si>
  <si>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</si>
  <si>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</si>
  <si>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Муниципальная программа муниципального образования Апшеронский район "Доступная среда"</t>
  </si>
  <si>
    <t>20</t>
  </si>
  <si>
    <t>Реализация мероприятий муниципальной программы "Доступная среда"</t>
  </si>
  <si>
    <t>Осуществление внешнего муниципального финансового контроля</t>
  </si>
  <si>
    <t>программы</t>
  </si>
  <si>
    <t>непрограммные</t>
  </si>
  <si>
    <t>(тыс.рублей)</t>
  </si>
  <si>
    <t>000 01 00 00 00 00 0000 000</t>
  </si>
  <si>
    <t>Источники внутреннего финансирования дефицитов бюджетов, всего</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</si>
  <si>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</si>
  <si>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</si>
  <si>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</si>
  <si>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</si>
  <si>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</si>
  <si>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</si>
  <si>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Увеличение прочих остатков денежных средств бюджетов</t>
  </si>
  <si>
    <t>000 01 05 02 01 05 0000 510</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</si>
  <si>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</si>
  <si>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</si>
  <si>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</si>
  <si>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</si>
  <si>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</si>
  <si>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</si>
  <si>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</si>
  <si>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Наименование межбюджетных трансфертов</t>
  </si>
  <si>
    <t>Дотации на выравнивание бюджетной обеспеченности поселений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</si>
  <si>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</si>
  <si>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из них:</t>
  </si>
  <si>
    <t xml:space="preserve">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t>
  </si>
  <si>
    <t>муниципальные дошкольные образовательные организации</t>
  </si>
  <si>
    <t>муниципальные общеобразовательные организации</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</si>
  <si>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</si>
  <si>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60070</t>
  </si>
  <si>
    <t>Оказание финансовой поддержки социально ориентированным некоммерческим организациям</t>
  </si>
  <si>
    <t>Содействие развитию дошкольного образования</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</si>
  <si>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</si>
  <si>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60820</t>
  </si>
  <si>
    <t>60860</t>
  </si>
  <si>
    <t>Обеспечение мероприятий по противодействию терроризму и экстремизму</t>
  </si>
  <si>
    <t>Содействие развитию общего образования</t>
  </si>
  <si>
    <t>10200</t>
  </si>
  <si>
    <t>10210</t>
  </si>
  <si>
    <t>62370</t>
  </si>
  <si>
    <t>Содействие развитию дополнительного образования детей</t>
  </si>
  <si>
    <t>Выявление и поддержка одаренных детей</t>
  </si>
  <si>
    <t xml:space="preserve">Стипендии главы муниципального образования Апшеронский район для одаренных детей </t>
  </si>
  <si>
    <t>00300</t>
  </si>
  <si>
    <t>12100</t>
  </si>
  <si>
    <t>Создание условий для полноценного и безопасного отдыха детей в каникулярное время</t>
  </si>
  <si>
    <t>Совершенствование управления реализацией Программы</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</si>
  <si>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</si>
  <si>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60710</t>
  </si>
  <si>
    <t>Совершенствование социальной поддержки семьи и детей</t>
  </si>
  <si>
    <t>934</t>
  </si>
  <si>
    <t>Развитие и реализация потенциала молодежи в интересах Кубани, формирование благоприятной среды, обеспечивающей всестороннее развитие личности</t>
  </si>
  <si>
    <t xml:space="preserve">Реализация мероприятий муниципальной программы "Развитие молодежной политики" </t>
  </si>
  <si>
    <t>10500</t>
  </si>
  <si>
    <t>929</t>
  </si>
  <si>
    <t>Формирование здорового образа жизни и гармоничное воспитание здорового,  физически крепкого поколения</t>
  </si>
  <si>
    <t>10400</t>
  </si>
  <si>
    <t xml:space="preserve">Массовый спорт </t>
  </si>
  <si>
    <t>953</t>
  </si>
  <si>
    <t>Муниципальная программа муниципального образования Апшеронский район "Социальная поддержка граждан"</t>
  </si>
  <si>
    <t>Другие вопросы в области социальной политики</t>
  </si>
  <si>
    <t>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t>
  </si>
  <si>
    <t>10800</t>
  </si>
  <si>
    <t>Повышение эффективности осуществления закупок товаров, работ, услуг для муниципальных нужд и нужд бюджетных учреждений муниципального образования</t>
  </si>
  <si>
    <t>Государственная поддержка решения жилищной проблемы детей-сирот и детей, оставшихся без попечения родителей, лиц из числа детей-сирот и детей, оставшихся без попечения родителей</t>
  </si>
  <si>
    <t>Создание условий для эффективного управления в сфере развития системы управления муниципальным имуществом, находящимся в муниципальной собственности</t>
  </si>
  <si>
    <t>905</t>
  </si>
  <si>
    <t>Создание условий для эффективного и ответственного управления муниципальными финансами</t>
  </si>
  <si>
    <t xml:space="preserve">Выравнивание финансовых возможностей бюджетов </t>
  </si>
  <si>
    <t>Прочие субсидии</t>
  </si>
  <si>
    <t>Субсидии бюджетам бюджетной системы Российской Федерации (межбюджетные субсидии)*</t>
  </si>
  <si>
    <t>Создание условий для развития санаторно-курортного и туристского комплекса муниципального образования Апшеронский район</t>
  </si>
  <si>
    <t>1 11 05075 05 0000 120</t>
  </si>
  <si>
    <t>1 05 01000 00 0000 110</t>
  </si>
  <si>
    <t>Налог, взимаемый в связи с применением упрощенной системы налогообложения*</t>
  </si>
  <si>
    <t>Безвозмездные поступления</t>
  </si>
  <si>
    <t xml:space="preserve">* По видам и подвидам доходов, входящим в соответствующий группировочный код бюджетной классификации, зачисляемым в районный бюджет в соответствии с законодательством Российской Федерации.   </t>
  </si>
  <si>
    <t>Всего</t>
  </si>
  <si>
    <t>926</t>
  </si>
  <si>
    <t>Реализация мероприятий муниципальной программы  "Развитие культуры"</t>
  </si>
  <si>
    <t>10300</t>
  </si>
  <si>
    <t>Содействие развитию библиотечного дела</t>
  </si>
  <si>
    <t>20020</t>
  </si>
  <si>
    <t>Содействие развитию культурно-досуговых организаций</t>
  </si>
  <si>
    <t>Организация, проведение и участие в конкурсах, фестивалях, концертах, выставках, приемах, конференциях, форумах, акциях, праздниках, семинарах, экспедициях в рамках их организации и поддержки</t>
  </si>
  <si>
    <t xml:space="preserve">Другие вопросы в области культуры, кинематографии </t>
  </si>
  <si>
    <t>Физическая культура и спорт</t>
  </si>
  <si>
    <t>Обеспечение деятельности  муниципального казенного учреждения "Ситуационный центр "Комплексное обеспечение безопасности жизнедеятельности"</t>
  </si>
  <si>
    <t>Рз,Пр</t>
  </si>
  <si>
    <t>000 01 05 02 01 00 0000 510</t>
  </si>
  <si>
    <t>Сохранение и развитие традиционной народной культуры муниципального образования</t>
  </si>
  <si>
    <t xml:space="preserve">Сохранение и развитие традиционной народной культуры муниципального образования </t>
  </si>
  <si>
    <t>Единый налог на вмененный доход для отдельных видов деятельности</t>
  </si>
  <si>
    <t>10670</t>
  </si>
  <si>
    <t>10680</t>
  </si>
  <si>
    <t>Реализация полномочий в области строительства, архитектуры и градостроительства</t>
  </si>
  <si>
    <t xml:space="preserve">Муниципальная программа муниципального образования Апшеронский район "Развитие топливно-энергетического комплекса и жилищно-коммунального хозяйства" </t>
  </si>
  <si>
    <t>Коммунальное хозяйство</t>
  </si>
  <si>
    <t>Газификация населенных пунктов поселений муниципального образования Апшеронский район</t>
  </si>
  <si>
    <t>0502</t>
  </si>
  <si>
    <t>10820</t>
  </si>
  <si>
    <t>Выполнение других обязательств муниципального образования</t>
  </si>
  <si>
    <t>Содержание имущества, находящегося в муниципальной казне</t>
  </si>
  <si>
    <t>Основные мероприятия муниципальной программы</t>
  </si>
  <si>
    <t xml:space="preserve">Дотации бюджетам бюджетной системы Российской Федерации </t>
  </si>
  <si>
    <t>Субвенции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</si>
  <si>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</si>
  <si>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</si>
  <si>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</si>
  <si>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</si>
  <si>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62500</t>
  </si>
  <si>
    <t>1 11 09045 05 0000 120</t>
  </si>
  <si>
    <t>0703</t>
  </si>
  <si>
    <t>Дополнительное образование детей</t>
  </si>
  <si>
    <t xml:space="preserve">Молодежная политика </t>
  </si>
  <si>
    <t>Информатизация деятельности органов местного самоуправления</t>
  </si>
  <si>
    <t>Мероприятия по информатизации администрации муниципального образования, ее отраслевых (функциональных) органов</t>
  </si>
  <si>
    <t>11840</t>
  </si>
  <si>
    <t>Обеспечение информационной открытости и доступности информации о деятельности органов местного самоуправления</t>
  </si>
  <si>
    <t>Пенсионное обеспечение</t>
  </si>
  <si>
    <t>11850</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</si>
  <si>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</si>
  <si>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</si>
  <si>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</si>
  <si>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Физическая культура</t>
  </si>
  <si>
    <t>Содействие развитию спортивных организаций</t>
  </si>
  <si>
    <t>Условно утвержденные расходы</t>
  </si>
  <si>
    <t>% УУР</t>
  </si>
  <si>
    <t>УУР</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</si>
  <si>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</si>
  <si>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аппарат соцсферы</t>
  </si>
  <si>
    <t>соцкультсфера (без аппарата)</t>
  </si>
  <si>
    <t>Система комплексного обеспечения безопасности жизнедеятельности муниципального образования. Построение и развитие АПК "Безопасный город"</t>
  </si>
  <si>
    <t>Субсидии бюджетам бюджетной системы Российской Федерации (межбюджетные субсидии)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</si>
  <si>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</si>
  <si>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10810</t>
  </si>
  <si>
    <t>Мероприятия по землеустройству и землепользованию</t>
  </si>
  <si>
    <t>Обеспечение строительства газопроводов на территории муниципального образования Апшеронский район</t>
  </si>
  <si>
    <t>Прочие обязательства муниципального образования</t>
  </si>
  <si>
    <t>Начальник Финансового управления</t>
  </si>
  <si>
    <t xml:space="preserve">администрации муниципального образования </t>
  </si>
  <si>
    <t>Апшеронский район</t>
  </si>
  <si>
    <t>11880</t>
  </si>
  <si>
    <t>Материально-техническое обеспечение деятельности органов местного самоуправления муниципального образования</t>
  </si>
  <si>
    <t>09020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</si>
  <si>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</si>
  <si>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</si>
  <si>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Судебная система</t>
  </si>
  <si>
    <t>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</si>
  <si>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</si>
  <si>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1 13 00000 00 0000 000</t>
  </si>
  <si>
    <t>О.В.Чуйко</t>
  </si>
  <si>
    <t>0105</t>
  </si>
  <si>
    <t>60740</t>
  </si>
  <si>
    <t>2 02 29999 05 0000 150</t>
  </si>
  <si>
    <t>2 02 30024 05 0000 150</t>
  </si>
  <si>
    <t>2 02 35120 05 0000 150</t>
  </si>
  <si>
    <t>2 02 15001 05 0000 150</t>
  </si>
  <si>
    <t>2 02 40014 05 0000 150</t>
  </si>
  <si>
    <t>2 02 30029 05 0000 150</t>
  </si>
  <si>
    <t>2 02 10000 00 0000 150</t>
  </si>
  <si>
    <t>2 02 15001 00 0000 150</t>
  </si>
  <si>
    <t>2 02 20000 00 0000 150</t>
  </si>
  <si>
    <t>2 02 29999 00 0000 150</t>
  </si>
  <si>
    <t>2 02 30000 00 0000 150</t>
  </si>
  <si>
    <t>2 02 30024 00 0000 150</t>
  </si>
  <si>
    <t>2 02 30029 00 0000 150</t>
  </si>
  <si>
    <t>2 02 35120 00 0000 150</t>
  </si>
  <si>
    <t>Доходы от оказания платных услуг и компенсации затрат государства*</t>
  </si>
  <si>
    <t>10700</t>
  </si>
  <si>
    <t>2 02 40000 00 0000 150</t>
  </si>
  <si>
    <t>субсидии на обеспечение условий для развития физической культуры и массового спорта в части оплаты труда инструкторов по спорту</t>
  </si>
  <si>
    <t>Осуществление отдельных государственных полномочий Краснодарского края по поддержке сельскохозяйственного производства</t>
  </si>
  <si>
    <t>S2820</t>
  </si>
  <si>
    <t>Совершенствование спортивной инфраструктуры и материально-технической базы для занятий физической культурой и массовым спортом</t>
  </si>
  <si>
    <t>S0560</t>
  </si>
  <si>
    <t>921</t>
  </si>
  <si>
    <t>S0620</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</si>
  <si>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</si>
  <si>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</si>
  <si>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2 02 20077 00 0000 150</t>
  </si>
  <si>
    <t>Субсидии бюджетам на софинансирование капитальных вложений в объекты муниципальной собственности</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</si>
  <si>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</si>
  <si>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субвенции на осуществление отдельных государственных полномочий Краснодарского края по поддержке сельскохозяйственного производства</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</si>
  <si>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</si>
  <si>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925</t>
  </si>
  <si>
    <t>1 06 02000 02 0000 110</t>
  </si>
  <si>
    <t>Налог на имущество организаций*</t>
  </si>
  <si>
    <t>Дотации бюджетам муниципальных районов на выравнивание бюджетной обеспеченности из бюджета субъекта Российской Федерации</t>
  </si>
  <si>
    <t>Иные межбюджетные трансферты бюджетам бюджетной системы Российской Федерации</t>
  </si>
  <si>
    <t>Иные межбюджетные трансферты</t>
  </si>
  <si>
    <t xml:space="preserve">2 02 40014 00 0000 150 </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</si>
  <si>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</si>
  <si>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</si>
  <si>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 xml:space="preserve">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</si>
  <si>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</si>
  <si>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Муниципальная программа муниципального образования Апшеронский район «Развитие образования»</t>
  </si>
  <si>
    <t>Обеспечение условий для развития физической культуры и массового спорта в части оплаты труда инструкторов по спорту</t>
  </si>
  <si>
    <t>63110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</si>
  <si>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</si>
  <si>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</si>
  <si>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 xml:space="preserve"> </t>
  </si>
  <si>
    <t xml:space="preserve">Выплата пенсии за выслугу лет лицам, замещавшим муниципальные должности и должности муниципальной службы в органах местного самоуправления </t>
  </si>
  <si>
    <t>Резервный фонд администрации муниципального образования</t>
  </si>
  <si>
    <t>Непрограммные расходы органов местного самоуправления</t>
  </si>
  <si>
    <t>Непрограммные расходы</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</si>
  <si>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</si>
  <si>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</si>
  <si>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 xml:space="preserve">Непрограммные расходы органов 
местного самоуправления
</t>
  </si>
  <si>
    <t>Мероприятия по предупреждению и ликвидации чрезвычайных ситуаций</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</si>
  <si>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</si>
  <si>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</si>
  <si>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</si>
  <si>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</si>
  <si>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</si>
  <si>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</si>
  <si>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t>
  </si>
  <si>
    <t>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</si>
  <si>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</si>
  <si>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0310</t>
  </si>
  <si>
    <t>Защита населения и территории от чрезвычайных ситуаций природного и техногенного характера, пожарная безопасность</t>
  </si>
  <si>
    <t>субсидии на организацию газоснабжения населения (поселений) (строительство подводящих газопроводов, 
распределительных газопроводов)</t>
  </si>
  <si>
    <t>Расходы на обеспечение деятельности (оказание услуг) муниципальных учреждений</t>
  </si>
  <si>
    <t>Осуществление капитального ремонта</t>
  </si>
  <si>
    <t>Мероприятия по пожарной безопасности</t>
  </si>
  <si>
    <t>10640</t>
  </si>
  <si>
    <t>Пожарная безопасность в органах местного самоуправления</t>
  </si>
  <si>
    <t>00400</t>
  </si>
  <si>
    <t>Мероприятия по организации отдыха детей в каникулярное время</t>
  </si>
  <si>
    <t>Профилактика терроризма и экстремизма в органах местного самоуправления</t>
  </si>
  <si>
    <t xml:space="preserve">Мероприятия по информатизации администрации муниципального образования, ее отраслевых (функциональных) органов </t>
  </si>
  <si>
    <t xml:space="preserve">Мероприятия по пожарной безопасности </t>
  </si>
  <si>
    <t xml:space="preserve">Доходы от уплаты акцизов на дизельное топливо, моторные масла для дизельных и (или) карбюраторных (инжекторных) двигателей,  автомобильный бензин,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</si>
  <si>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Наименование кода группы, подгруппы, статьи, элемента, подвида, аналитической группы вида источников финансирования дефицитов бюджетов</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</si>
  <si>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</si>
  <si>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Укрепление правопорядка, профилактика правонарушений, усиление борьбы с преступностью в муниципальном образовании</t>
  </si>
  <si>
    <t>Повышение эффективности мер, принимаемых для охраны общественного порядка и профилактики правонарушений  в муниципальном образовании</t>
  </si>
  <si>
    <t>1 11 00000 00 0000 000</t>
  </si>
  <si>
    <t>Доходы от использования имущества, находящегося в государственной и муниципальной собственности*, в том числе:</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</si>
  <si>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</si>
  <si>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</si>
  <si>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</si>
  <si>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</si>
  <si>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Организация газоснабжения населения (поселений) (строительство подводящих газопроводов, распределительных газопроводов)</t>
  </si>
  <si>
    <t>S0470</t>
  </si>
  <si>
    <t>2024 год</t>
  </si>
  <si>
    <t>субвенции на 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</si>
  <si>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2 02 35303 00 0000 150</t>
  </si>
  <si>
    <t>2 02 35303 05 0000 150</t>
  </si>
  <si>
    <t xml:space="preserve">                                Приложение 1 к решению Совета муниципального образования</t>
  </si>
  <si>
    <t xml:space="preserve">                                Приложение 2 к решению Совета муниципального образования</t>
  </si>
  <si>
    <t xml:space="preserve">                                Приложение 3 к решению Совета муниципального образования</t>
  </si>
  <si>
    <t xml:space="preserve">                                Приложение 4 к решению Совета муниципального образования</t>
  </si>
  <si>
    <t xml:space="preserve">                                Приложение 6 к решению Совета муниципального образования</t>
  </si>
  <si>
    <t xml:space="preserve">                                Приложение 7 к решению Совета муниципального образования</t>
  </si>
  <si>
    <t xml:space="preserve">                                Приложение 8 к решению Совета муниципального образования</t>
  </si>
  <si>
    <t xml:space="preserve">                                Приложение 9 к решению Совета муниципального образования</t>
  </si>
  <si>
    <t>Мероприятия по профилактике детского дорожно-транспортного травматизма в муниципальных образовательных учреждениях</t>
  </si>
  <si>
    <t>10220</t>
  </si>
  <si>
    <t>________________________</t>
  </si>
  <si>
    <t>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</si>
  <si>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0705</t>
  </si>
  <si>
    <t>Профессиональная подготовка, переподготовка и повышение квалификации</t>
  </si>
  <si>
    <t>10240</t>
  </si>
  <si>
    <t>Мероприятия по переподготовке и повышению квалификации кадров</t>
  </si>
  <si>
    <t>69200</t>
  </si>
  <si>
    <t>69180</t>
  </si>
  <si>
    <t>69190</t>
  </si>
  <si>
    <t>69100</t>
  </si>
  <si>
    <t>69130</t>
  </si>
  <si>
    <t>69110</t>
  </si>
  <si>
    <t>69140</t>
  </si>
  <si>
    <t>69170</t>
  </si>
  <si>
    <t>S3550</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</si>
  <si>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</si>
  <si>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63540</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</si>
  <si>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</si>
  <si>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</si>
  <si>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</si>
  <si>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</si>
  <si>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</si>
  <si>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</si>
  <si>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Единая субвенция местным бюджетам из бюджета субъекта Российской Федерации</t>
  </si>
  <si>
    <t>2 02 36900 00 0000 150</t>
  </si>
  <si>
    <t>2 02 36900 05 0000 150</t>
  </si>
  <si>
    <t>Единая субвенция бюджетам муниципальных районов из бюджета субъекта Российской Федерации</t>
  </si>
  <si>
    <t>Содействие развитию физической культуры и спорта</t>
  </si>
  <si>
    <t>L5190</t>
  </si>
  <si>
    <t>Государственная поддержка отрасли культуры</t>
  </si>
  <si>
    <t>2 02 25519 05 0000 150</t>
  </si>
  <si>
    <t>2 02 25519 00 0000 150</t>
  </si>
  <si>
    <t>Субсидии бюджетам на поддержку отрасли культуры</t>
  </si>
  <si>
    <t>Субсидии бюджетам муниципальных районов на поддержку отрасли культуры</t>
  </si>
  <si>
    <t>субсидии на реализацию мероприятий по модернизации библиотек в части комплектования книжных фондов библиотек муниципальных образований Краснодарского края</t>
  </si>
  <si>
    <t>19</t>
  </si>
  <si>
    <t>2025 год</t>
  </si>
  <si>
    <t>Обеспечение деятельности  муниципального казенного учреждения муниципального образования Апшеронский район «Служба комплексного обеспечения деятельности органов местного самоуправления"</t>
  </si>
  <si>
    <t xml:space="preserve">                                Приложение 10 к решению Совета муниципального образования</t>
  </si>
  <si>
    <t>Непрограммные расходы органов 
местного самоуправления</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</si>
  <si>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</si>
  <si>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</si>
  <si>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</si>
  <si>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Обращение с твердыми коммунальными отходами на территории сельских поселений Апшеронского района</t>
  </si>
  <si>
    <t>Обеспечение мероприятий в области обращения с твердыми коммунальными отходами</t>
  </si>
  <si>
    <t>Создание и содержание мест (площадок) накопления твердых коммунальных отходов</t>
  </si>
  <si>
    <t>11200</t>
  </si>
  <si>
    <t>Благоустройство</t>
  </si>
  <si>
    <t>Муниципальная программа муниципального образования Апшеронский район "Развитие топливно-энергетического комплекса и жилищно-коммунального хозяйства"</t>
  </si>
  <si>
    <t>0503</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</si>
  <si>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</si>
  <si>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</si>
  <si>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</si>
  <si>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</si>
  <si>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</si>
  <si>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</si>
  <si>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</si>
  <si>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</si>
  <si>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</si>
  <si>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</si>
  <si>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Осуществление внутреннего муниципального финансового контроля</t>
  </si>
  <si>
    <t>Осуществление части полномочий по решению вопросов местного значения в соответствии с заключенными соглашениями</t>
  </si>
  <si>
    <t>20040</t>
  </si>
  <si>
    <t>Иные межбюджетные трансферты, передаваемые бюджетам сельских поселений Апшеронского района на осуществление части полномочий по решению вопросов местного значения</t>
  </si>
  <si>
    <t>Иные межбюджетные трансферты, передаваемые бюджету Апшеронского городского поселения Апшеронского района на осуществление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</si>
  <si>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</si>
  <si>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</si>
  <si>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Спорт высших достижений</t>
  </si>
  <si>
    <t>1103</t>
  </si>
  <si>
    <t>субсидии на подготовку изменений в правила землепользования и застройки муниципальных образований Краснодарского края</t>
  </si>
  <si>
    <t>S2570</t>
  </si>
  <si>
    <t>Подготовка изменений в правила землепользования и застройки муниципальных образований Краснодарского края</t>
  </si>
  <si>
    <t xml:space="preserve">cубсидии на 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t>
  </si>
  <si>
    <t>S0340</t>
  </si>
  <si>
    <t>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t>
  </si>
  <si>
    <t>Проведение мероприятий по формированию в муниципальном образовании Апшеронский район сети образовательных организаций, в которых созданы условия для инклюзивного образования детей-инвалидов. Создание в муниципальных образовательных организациях условий для получения детьми-инвалидами качественного образования</t>
  </si>
  <si>
    <t>Объем поступлений доходов в районный бюджет по кодам видов (подвидов) доходов на 2024 год и плановый период 2025 и 2026 годов</t>
  </si>
  <si>
    <t>2026 год</t>
  </si>
  <si>
    <t>Безвозмездные поступления от других бюджетов бюджетной системы Российской Федерации в
 2025 и 2026 годах</t>
  </si>
  <si>
    <t>классификации расходов бюджетов на 2024 год и плановый период 2025 и 2026 годов</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</si>
  <si>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2024 год</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</si>
  <si>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2025 и 2026 годы</t>
  </si>
  <si>
    <t>Ведомственная структура расходов районного бюджета на 2024 год</t>
  </si>
  <si>
    <t>Ведомственная структура расходов районного бюджета на 2025 и 2026 годы</t>
  </si>
  <si>
    <t>Источники финансирования дефицита районного бюджета,                                                                                                                                                                                                                                                                перечень статей источников финансирования дефицитов бюджетов на 2024 год и плановый период 2025 и 2026 годов</t>
  </si>
  <si>
    <t xml:space="preserve">                                Приложение 11 к решению Совета муниципального образования</t>
  </si>
  <si>
    <t>Содержание муниципального архива</t>
  </si>
  <si>
    <t>11860</t>
  </si>
  <si>
    <t>S0610</t>
  </si>
  <si>
    <t>000 01 03 00 00 00 0000 000</t>
  </si>
  <si>
    <t>000 01 03 01 00 00 0000 000</t>
  </si>
  <si>
    <t>Бюджетные кредиты из других бюджетов бюджетной системы Российской Федерации в валюте Российской Федерации</t>
  </si>
  <si>
    <t>000 01 03 01 00 00 0000 800</t>
  </si>
  <si>
    <t>Погашение бюджетных кредитов, полученных из других бюджетов бюджетной системы Российской Федерации в валюте Российской Федерации</t>
  </si>
  <si>
    <t>000 01 03 01 00 05 0000 810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</si>
  <si>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</si>
  <si>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Безвозмездные поступления от других бюджетов бюджетной системы Российской Федерации в 2024 году</t>
  </si>
  <si>
    <t xml:space="preserve">                                Приложение 5 к решению Совета муниципального образования</t>
  </si>
  <si>
    <t>S0100</t>
  </si>
  <si>
    <t>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</si>
  <si>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Осуществление отдельного государственного полномочия Краснодарского края по формированию списков семей и граждан, жилые помещения которых утрачены, и (или) списков граждан, жилые помещения которых повреждены в результате чрезвычайных ситуаций природного и техногенного характера, а также в результате террористических актов и (или) при пресечении террористических актов правомерными действиями на территории Краснодарского края</t>
  </si>
  <si>
    <t>Обслуживание государственного (муниципального) долга</t>
  </si>
  <si>
    <t>Обслуживание государственного (муниципального) внутреннего долга</t>
  </si>
  <si>
    <t>Обеспечение своевременности и полноты исполнения долговых обязательств муниципального образования</t>
  </si>
  <si>
    <t>Процентные платежи по муниципальному долгу</t>
  </si>
  <si>
    <t>11810</t>
  </si>
  <si>
    <t>700</t>
  </si>
  <si>
    <t>1300</t>
  </si>
  <si>
    <t>1301</t>
  </si>
  <si>
    <t>Объем межбюджетных трансфертов, предоставляемых другим бюджетам бюджетной системы Российской Федерации, на 2024 год и плановый период 2025 и 2026 годов</t>
  </si>
  <si>
    <t>А0820</t>
  </si>
  <si>
    <t>до изменений (скрыть)</t>
  </si>
  <si>
    <t>изменения</t>
  </si>
  <si>
    <t>субсидии на ремонт и укрепление материально-технической базы, в том числе приобретение автотранспорта (автобусы, микроавтобусы), техническое оснащение муниципальных учреждений культуры и (или) детских музыкальных школ, художественных школ, школ искусств, домов детского творчества, функции и полномочия учредителя в отношении которых осуществляют органы местного самоуправления муниципальных образований Краснодарского края</t>
  </si>
  <si>
    <t>Функционирование Правительства Российской Федерации, высших исполнительных органов субъектов Российской Федерации, местных администраций</t>
  </si>
  <si>
    <t>S0640</t>
  </si>
  <si>
    <t>субвенции на осуществление отдельного государственного полномочия Краснодарского края по формированию списков семей и граждан, жилые помещения которых утрачены в результате чрезвычайных ситуаций природного и техногенного характера, а также в результате террористических актов и (или) при пресечении террористических актов правомерными действиями на территории Краснодарского края</t>
  </si>
  <si>
    <t xml:space="preserve">субвенции на осуществление отдельного государственного полномочия Краснодарского края по формированию списков семей и граждан, жилые помещения которых утрачены в результате чрезвычайных ситуаций природного и техногенного характера, а также в результате террористических актов и (или) при пресечении террористических актов правомерными действиями на территории Краснодарского края
</t>
  </si>
  <si>
    <t>Комплектование библиотечных фондов библиотек поселения</t>
  </si>
  <si>
    <t xml:space="preserve">субсидии на формирование и содержание муниципальных архивов </t>
  </si>
  <si>
    <t>субсидии на 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</si>
  <si>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Ремонт и укрепление материально-технической базы, в том числе приобретение автотранспорта (автобусы, микроавтобусы), техническое оснащение муниципальных учреждений культуры и (или) детских музыкальных школ, художественных школ, школ искусств, домов детского творчества, функции и полномочия учредителя в отношении которых осуществляют органы местного самоуправления муниципальных образований Краснодарского края</t>
  </si>
  <si>
    <t>Бюджетные кредиты из других бюджетов бюджетной системы Российской Федерации</t>
  </si>
  <si>
    <t>Федеральный проект "Патриотическое воспитание граждан Российской Федерации"</t>
  </si>
  <si>
    <t>EB</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</si>
  <si>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</si>
  <si>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</si>
  <si>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2 02 35179 00 0000 150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</si>
  <si>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</si>
  <si>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2 02 35179 05 0000 150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</si>
  <si>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</si>
  <si>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1 11 03050 05 0000 120</t>
  </si>
  <si>
    <t>проценты, полученные от предоставления бюджетных кредитов внутри страны за счет средств бюджетов муниципальных районов</t>
  </si>
  <si>
    <t>Обеспечение функционирования системы персонифицированного финансирования дополнительного образования детей</t>
  </si>
  <si>
    <t>10230</t>
  </si>
  <si>
    <t>Формирование и содержание муниципальных архивов</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</si>
  <si>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дополнительного образования в муниципальных образовательных организациях (проведение капитальных ремонтов зданий, помещений, сооружений, территорий, прилегающих к зданиям и сооружениям)</t>
  </si>
  <si>
    <t>с учетом изменений</t>
  </si>
  <si>
    <t>8</t>
  </si>
  <si>
    <t>Апшеронский район от 22.12.2023 № 225</t>
  </si>
  <si>
    <t>R3032</t>
  </si>
  <si>
    <t>18</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</si>
  <si>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</si>
  <si>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</si>
  <si>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</si>
  <si>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</si>
  <si>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ФУ 260</t>
  </si>
  <si>
    <t>921-2,9805</t>
  </si>
  <si>
    <t>УО 2458,32712</t>
  </si>
  <si>
    <t>2 18 05010 05 0000 150</t>
  </si>
  <si>
    <t>Доходы бюджетов муниципальных районов от возврата бюджетными учреждениями остатков субсидий прошлых лет</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</si>
  <si>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</si>
  <si>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2 19 25304 05 0000 150</t>
  </si>
  <si>
    <t>Возврат остатков субсидий на реализацию мероприятий по модернизации школьных систем образования из бюджетов муниципальных районов</t>
  </si>
  <si>
    <t>2 19 25750 05 0000 150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</si>
  <si>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районов</t>
  </si>
  <si>
    <t>2 19 35303 05 0000 150</t>
  </si>
  <si>
    <t>2 02 49999 05 0000 150</t>
  </si>
  <si>
    <t>Прочие межбюджетные трансферты, передаваемые бюджетам муниципальных районов</t>
  </si>
  <si>
    <t>иные межбюджетные трансферты бюджетам муниципальных образований Краснодарского края за счет средств резервного фонда администрации Краснодарского края</t>
  </si>
  <si>
    <t>иные межбюджетные трансферты на дополнительную помощь местным бюджетам для решения социально значимых вопросов местного значения</t>
  </si>
  <si>
    <t>2 02 49999 00 0000 150</t>
  </si>
  <si>
    <t>Прочие межбюджетные трансферты, передаваемые бюджетам</t>
  </si>
  <si>
    <t>2 02 29900 00 0000 150</t>
  </si>
  <si>
    <t>Субсидии бюджетам субъектов Российской Федерации (муниципальных образований) из бюджета субъекта Российской Федерации (местного бюджета)</t>
  </si>
  <si>
    <t>2 02 29900 05 0000 150</t>
  </si>
  <si>
    <t>Субсидии бюджетам муниципальных районов из местных бюджетов</t>
  </si>
  <si>
    <t>субсидии бюджету муниципального образования Апшеронский район в целях финансирования расходных обязательств, возникающих при выполнении полномочий органов местного самоуправления Апшеронского района по подвозу обучающихся из Туапсинского района к месту учебы в Апшеронский район и обратно, в соответствии с заключенными соглашениями</t>
  </si>
  <si>
    <t>Средства резервного фонда администрации Краснодарского края</t>
  </si>
  <si>
    <t>62590</t>
  </si>
  <si>
    <t>Прочие межбюджетные трансферты общего характера</t>
  </si>
  <si>
    <t>Финансовое обеспечение непредвиденных расходов, в том числе связанных с предупреждением и ликвидацией чрезвычайных ситуаций и их последствий, а также иных мероприятий (неотложных расходов)</t>
  </si>
  <si>
    <t>98</t>
  </si>
  <si>
    <t>Мероприятия, направленные на предупреждение и ликвидацию чрезвычайных ситуаций и их последствий, а также на иные мероприятия (неотложные расходы), не относящиеся к публичным нормативным обязательствам</t>
  </si>
  <si>
    <t>Иные межбюджетные трансферты бюджетам поселений за счет средств резервного фонда администрации муниципального образования Апшеронский район</t>
  </si>
  <si>
    <t>90020</t>
  </si>
  <si>
    <t>Реконструкция и устройство освещения детской игровой площадки п. Станционный, ул. 2-я Тоннельная Куринского сельского поселения Апшеронского района</t>
  </si>
  <si>
    <t>Организация подвоза обучающихся, проживающих на территории Туапсинского района</t>
  </si>
  <si>
    <t>27000</t>
  </si>
  <si>
    <t>69120</t>
  </si>
  <si>
    <t>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</si>
  <si>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62980</t>
  </si>
  <si>
    <t>Дополнительная помощь местным бюджетам для решения социально значимых вопросов местного значения</t>
  </si>
  <si>
    <t>2 02 19999 00 0000 150</t>
  </si>
  <si>
    <t>Прочие дотации</t>
  </si>
  <si>
    <t>2 02 19999 05 0000 150</t>
  </si>
  <si>
    <t>Прочие дотации бюджетам муниципальных районов</t>
  </si>
  <si>
    <t>Поддержка местных инициатив по итогам краевого конкурса</t>
  </si>
  <si>
    <t>62950</t>
  </si>
  <si>
    <t>Социальное обеспечение населения</t>
  </si>
  <si>
    <t>Меры социальной поддержки отдельных категорий граждан</t>
  </si>
  <si>
    <t xml:space="preserve">Обеспечение автономными дымовыми пожарными извещателями </t>
  </si>
  <si>
    <t>10160</t>
  </si>
  <si>
    <t>Иные межбюджетные трансферты на поддержку мер по обеспечению сбалансированности бюджетов поселений</t>
  </si>
  <si>
    <t>10720</t>
  </si>
  <si>
    <t>Переселение граждан из аварийного жилищного фонда</t>
  </si>
  <si>
    <t>Реализация мероприятий по переселению граждан из аварийного жилищного фонда</t>
  </si>
  <si>
    <t xml:space="preserve">Реализация мероприятий муниципальной программы "Развитие топливно-энергетического комплекса и жилищно-коммунального хозяйства" </t>
  </si>
  <si>
    <t>12200</t>
  </si>
  <si>
    <t>Осуществление отдельных государственных полномочий по обеспечению детей сирот и детей, оставшихся без попечения родителей, лиц из числа детей сирот и детей, оставшихся без попечения родителей, жилыми помещениями</t>
  </si>
  <si>
    <t>Строительство, реконструкцию (в том числе реконструкцию объектов незавершенного строительства), техническое перевооружение, приобретение объектов спортивной инфраструктуры, общего образования, дошкольного образования, дополнительного образования, отрасли культуры, сооружений инженерной защиты и берегоукрепления</t>
  </si>
  <si>
    <t>субсидии на строительство, реконструкцию (в том числе реконструкцию объектов незавершенного строительства), техническое перевооружение, приобретение объектов спортивной инфраструктуры, общего образования, дошкольного образования, дополнительного образования, отрасли культуры, сооружений инженерной защиты и берегоукрепления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</si>
  <si>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(субвенции на осуществление отдельного государственного полномочия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</si>
  <si>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Организация и обеспечение бесплатным питанием обучающихся с ограниченными возможностями здоровья в муниципальных общеобразовательных организациях</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</si>
  <si>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дополнительного образования в муниципальных образовательных организациях в целях проведения капитальных ремонтов зданий, помещений, сооружений, благоустройство территорий, прилегающих к зданиям и сооружениям</t>
  </si>
  <si>
    <t>субсидии на организацию и обеспечение бесплатным питанием обучающихся с ограниченными возможностями здоровья в муниципальных общеобразовательных организациях</t>
  </si>
  <si>
    <t>Апшеронский район от 25.04.2024 № 243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</si>
</sst>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 #,##0_р_._-;\-* #,##0_р_._-;_-* &quot;-&quot;_р_._-;_-@_-"/>
    <numFmt numFmtId="165" formatCode="_-* #,##0.00_р_._-;\-* #,##0.00_р_._-;_-* &quot;-&quot;??_р_._-;_-@_-"/>
    <numFmt numFmtId="166" formatCode="0.0"/>
    <numFmt numFmtId="167" formatCode="#,##0.0"/>
    <numFmt numFmtId="168" formatCode="0.00000"/>
    <numFmt numFmtId="169" formatCode="0.0_ ;[Red]\-0.0\ "/>
    <numFmt numFmtId="170" formatCode="#,##0.00000"/>
    <numFmt numFmtId="171" formatCode="0.000000"/>
    <numFmt numFmtId="172" formatCode="0.00000_ ;[Red]\-0.00000\ "/>
    <numFmt numFmtId="173" formatCode="_-* #,##0.00000_р_._-;\-* #,##0.00000_р_._-;_-* &quot;-&quot;?????_р_._-;_-@_-"/>
    <numFmt numFmtId="174" formatCode="#,##0.0_ ;\-#,##0.0\ "/>
    <numFmt numFmtId="175" formatCode="#,##0.0000000_ ;[Red]\-#,##0.0000000\ "/>
  </numFmts>
  <fonts count="30" x14ac:knownFonts="1">
    <font>
      <sz val="11"/>
      <color theme="1"/>
      <name val="Calibri"/>
      <family val="2"/>
      <scheme val="minor"/>
    </font>
    <font>
      <sz val="14"/>
      <name val="Times New Roman"/>
      <family val="1"/>
    </font>
    <font>
      <b/>
      <sz val="14"/>
      <name val="Times New Roman"/>
      <family val="1"/>
    </font>
    <font>
      <sz val="14"/>
      <name val="Times New Roman"/>
      <family val="1"/>
      <charset val="204"/>
    </font>
    <font>
      <b/>
      <sz val="14"/>
      <name val="Times New Roman"/>
      <family val="1"/>
      <charset val="204"/>
    </font>
    <font>
      <sz val="10"/>
      <name val="Arial"/>
      <family val="2"/>
      <charset val="204"/>
    </font>
    <font>
      <i/>
      <sz val="14"/>
      <name val="Times New Roman"/>
      <family val="1"/>
      <charset val="204"/>
    </font>
    <font>
      <sz val="10"/>
      <name val="Arial Cyr"/>
      <charset val="204"/>
    </font>
    <font>
      <sz val="12"/>
      <name val="Times New Roman"/>
      <family val="1"/>
    </font>
    <font>
      <sz val="10"/>
      <name val="Arial Cyr"/>
      <family val="2"/>
      <charset val="204"/>
    </font>
    <font>
      <b/>
      <sz val="12"/>
      <name val="Times New Roman"/>
      <family val="1"/>
      <charset val="204"/>
    </font>
    <font>
      <sz val="12"/>
      <name val="Times New Roman"/>
      <family val="1"/>
      <charset val="204"/>
    </font>
    <font>
      <i/>
      <sz val="14"/>
      <name val="Times New Roman"/>
      <family val="1"/>
    </font>
    <font>
      <sz val="14"/>
      <name val="Arial"/>
      <family val="2"/>
      <charset val="204"/>
    </font>
    <font>
      <b/>
      <sz val="12"/>
      <name val="Times New Roman"/>
      <family val="1"/>
    </font>
    <font>
      <sz val="14"/>
      <name val="Arial Cyr"/>
      <charset val="204"/>
    </font>
    <font>
      <sz val="11"/>
      <name val="Calibri"/>
      <family val="2"/>
      <scheme val="minor"/>
    </font>
    <font>
      <sz val="11"/>
      <color theme="1"/>
      <name val="Calibri"/>
      <family val="2"/>
      <scheme val="minor"/>
    </font>
    <font>
      <sz val="12"/>
      <name val="Calibri"/>
      <family val="2"/>
      <scheme val="minor"/>
    </font>
    <font>
      <sz val="11"/>
      <name val="Times New Roman"/>
      <family val="1"/>
      <charset val="204"/>
    </font>
    <font>
      <b/>
      <sz val="11"/>
      <name val="Times New Roman"/>
      <family val="1"/>
      <charset val="204"/>
    </font>
    <font>
      <sz val="11"/>
      <name val="Calibri"/>
      <family val="2"/>
    </font>
    <font>
      <sz val="14"/>
      <color rgb="FFFF0000"/>
      <name val="Times New Roman"/>
      <family val="1"/>
      <charset val="204"/>
    </font>
    <font>
      <b/>
      <i/>
      <sz val="12"/>
      <name val="Times New Roman"/>
      <family val="1"/>
      <charset val="204"/>
    </font>
    <font>
      <b/>
      <sz val="11"/>
      <name val="Calibri"/>
      <family val="2"/>
      <charset val="204"/>
      <scheme val="minor"/>
    </font>
    <font>
      <sz val="14"/>
      <color rgb="FFC00000"/>
      <name val="Times New Roman"/>
      <family val="1"/>
      <charset val="204"/>
    </font>
    <font>
      <sz val="14"/>
      <color rgb="FF8A0000"/>
      <name val="Times New Roman"/>
      <family val="1"/>
    </font>
    <font>
      <sz val="14"/>
      <color rgb="FF8A0000"/>
      <name val="Calibri"/>
      <family val="2"/>
      <scheme val="minor"/>
    </font>
    <font>
      <sz val="14"/>
      <color rgb="FF22272F"/>
      <name val="Times New Roman"/>
      <family val="1"/>
      <charset val="204"/>
    </font>
    <font>
      <sz val="14"/>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8"/>
      </top>
      <bottom style="thin">
        <color indexed="64"/>
      </bottom>
      <diagonal/>
    </border>
  </borders>
  <cellStyleXfs count="20">
    <xf numFmtId="0" fontId="0" fillId="0" borderId="0"/>
    <xf numFmtId="0" fontId="5" fillId="0" borderId="0"/>
    <xf numFmtId="0" fontId="7" fillId="0" borderId="0"/>
    <xf numFmtId="0" fontId="5" fillId="0" borderId="0"/>
    <xf numFmtId="0" fontId="5" fillId="0" borderId="0"/>
    <xf numFmtId="0" fontId="9" fillId="0" borderId="0"/>
    <xf numFmtId="0" fontId="7" fillId="0" borderId="0"/>
    <xf numFmtId="0" fontId="7" fillId="0" borderId="0"/>
    <xf numFmtId="0" fontId="5" fillId="0" borderId="0"/>
    <xf numFmtId="0" fontId="7" fillId="0" borderId="0"/>
    <xf numFmtId="165" fontId="7" fillId="0" borderId="0" applyFont="0" applyFill="0" applyBorder="0" applyAlignment="0" applyProtection="0"/>
    <xf numFmtId="0" fontId="9" fillId="0" borderId="0"/>
    <xf numFmtId="0" fontId="9" fillId="0" borderId="0"/>
    <xf numFmtId="164" fontId="17" fillId="0" borderId="0" applyFont="0" applyFill="0" applyBorder="0" applyAlignment="0" applyProtection="0"/>
    <xf numFmtId="0" fontId="9" fillId="0" borderId="0"/>
    <xf numFmtId="0" fontId="5" fillId="0" borderId="0"/>
    <xf numFmtId="0" fontId="9" fillId="0" borderId="0"/>
    <xf numFmtId="0" fontId="17" fillId="0" borderId="0"/>
    <xf numFmtId="0" fontId="7" fillId="0" borderId="0"/>
    <xf numFmtId="43" fontId="17" fillId="0" borderId="0" applyFont="0" applyFill="0" applyBorder="0" applyAlignment="0" applyProtection="0"/>
  </cellStyleXfs>
  <cellXfs count="751">
    <xf numFmtId="0" fontId="0" fillId="0" borderId="0" xfId="0"/>
    <xf numFmtId="168" fontId="1" fillId="0" borderId="0" xfId="7" applyNumberFormat="1" applyFont="1" applyFill="1" applyAlignment="1">
      <alignment horizontal="right"/>
    </xf>
    <xf numFmtId="0" fontId="8" fillId="0" borderId="0" xfId="7" applyFont="1" applyFill="1"/>
    <xf numFmtId="49" fontId="14" fillId="0" borderId="0" xfId="7" applyNumberFormat="1" applyFont="1" applyFill="1" applyBorder="1" applyAlignment="1">
      <alignment vertical="top" wrapText="1"/>
    </xf>
    <xf numFmtId="49" fontId="8" fillId="0" borderId="0" xfId="7" applyNumberFormat="1" applyFont="1" applyFill="1" applyBorder="1" applyAlignment="1">
      <alignment horizontal="center"/>
    </xf>
    <xf numFmtId="49" fontId="11" fillId="0" borderId="0" xfId="7" applyNumberFormat="1" applyFont="1" applyFill="1" applyBorder="1" applyAlignment="1">
      <alignment horizontal="center"/>
    </xf>
    <xf numFmtId="0" fontId="16" fillId="2" borderId="0" xfId="0" applyFont="1" applyFill="1"/>
    <xf numFmtId="0" fontId="8" fillId="2" borderId="0" xfId="0" applyFont="1" applyFill="1" applyBorder="1" applyAlignment="1">
      <alignment horizontal="center"/>
    </xf>
    <xf numFmtId="49" fontId="8" fillId="2" borderId="0" xfId="0" applyNumberFormat="1" applyFont="1" applyFill="1" applyBorder="1" applyAlignment="1">
      <alignment horizontal="center" vertical="top" wrapText="1"/>
    </xf>
    <xf numFmtId="49" fontId="8" fillId="2" borderId="0" xfId="0" applyNumberFormat="1" applyFont="1" applyFill="1" applyBorder="1" applyAlignment="1">
      <alignment horizontal="center"/>
    </xf>
    <xf numFmtId="168" fontId="16" fillId="2" borderId="0" xfId="0" applyNumberFormat="1" applyFont="1" applyFill="1" applyBorder="1" applyAlignment="1"/>
    <xf numFmtId="168" fontId="8" fillId="2" borderId="0" xfId="0" applyNumberFormat="1" applyFont="1" applyFill="1" applyAlignment="1">
      <alignment horizontal="center"/>
    </xf>
    <xf numFmtId="0" fontId="8" fillId="2" borderId="0" xfId="0" applyFont="1" applyFill="1"/>
    <xf numFmtId="0" fontId="1" fillId="2" borderId="1" xfId="0" applyFont="1" applyFill="1" applyBorder="1" applyAlignment="1">
      <alignment horizont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xf>
    <xf numFmtId="0" fontId="1" fillId="2" borderId="1" xfId="0" applyFont="1" applyFill="1" applyBorder="1" applyAlignment="1">
      <alignment horizontal="center" vertical="top"/>
    </xf>
    <xf numFmtId="49" fontId="2" fillId="2" borderId="3" xfId="0" applyNumberFormat="1" applyFont="1" applyFill="1" applyBorder="1" applyAlignment="1">
      <alignment vertical="top" wrapText="1"/>
    </xf>
    <xf numFmtId="49" fontId="1" fillId="2" borderId="1" xfId="6" applyNumberFormat="1" applyFont="1" applyFill="1" applyBorder="1" applyAlignment="1">
      <alignment horizontal="center" vertical="top" wrapText="1"/>
    </xf>
    <xf numFmtId="49" fontId="1" fillId="2" borderId="1" xfId="6" applyNumberFormat="1" applyFont="1" applyFill="1" applyBorder="1" applyAlignment="1">
      <alignment horizontal="center" vertical="top"/>
    </xf>
    <xf numFmtId="49" fontId="1" fillId="2" borderId="2" xfId="6" applyNumberFormat="1" applyFont="1" applyFill="1" applyBorder="1" applyAlignment="1">
      <alignment horizontal="center" vertical="top"/>
    </xf>
    <xf numFmtId="49" fontId="1" fillId="2" borderId="9" xfId="6" applyNumberFormat="1" applyFont="1" applyFill="1" applyBorder="1" applyAlignment="1">
      <alignment horizontal="center" vertical="top"/>
    </xf>
    <xf numFmtId="49" fontId="1" fillId="2" borderId="3" xfId="6" applyNumberFormat="1" applyFont="1" applyFill="1" applyBorder="1" applyAlignment="1">
      <alignment horizontal="center" vertical="top"/>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9" xfId="0" applyNumberFormat="1" applyFont="1" applyFill="1" applyBorder="1" applyAlignment="1">
      <alignment horizontal="center"/>
    </xf>
    <xf numFmtId="49" fontId="2" fillId="2" borderId="3" xfId="0" applyNumberFormat="1" applyFont="1" applyFill="1" applyBorder="1" applyAlignment="1">
      <alignment horizontal="center"/>
    </xf>
    <xf numFmtId="49" fontId="1" fillId="2" borderId="1" xfId="0" applyNumberFormat="1" applyFont="1" applyFill="1" applyBorder="1" applyAlignment="1">
      <alignment horizontal="center" wrapText="1"/>
    </xf>
    <xf numFmtId="166" fontId="1" fillId="2" borderId="1" xfId="0" applyNumberFormat="1" applyFont="1" applyFill="1" applyBorder="1" applyAlignment="1">
      <alignment horizontal="right"/>
    </xf>
    <xf numFmtId="49" fontId="1" fillId="2" borderId="14"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2" xfId="6" applyNumberFormat="1" applyFont="1" applyFill="1" applyBorder="1" applyAlignment="1">
      <alignment horizontal="center"/>
    </xf>
    <xf numFmtId="49" fontId="3" fillId="2" borderId="1" xfId="0" applyNumberFormat="1" applyFont="1" applyFill="1" applyBorder="1" applyAlignment="1">
      <alignment horizontal="center"/>
    </xf>
    <xf numFmtId="0" fontId="3" fillId="2" borderId="1" xfId="0" applyFont="1" applyFill="1" applyBorder="1"/>
    <xf numFmtId="166" fontId="16" fillId="2" borderId="0" xfId="0" applyNumberFormat="1" applyFont="1" applyFill="1"/>
    <xf numFmtId="1" fontId="1" fillId="2" borderId="1" xfId="0" applyNumberFormat="1" applyFont="1" applyFill="1" applyBorder="1" applyAlignment="1">
      <alignment horizontal="center"/>
    </xf>
    <xf numFmtId="166" fontId="2" fillId="2" borderId="1" xfId="0" applyNumberFormat="1" applyFont="1" applyFill="1" applyBorder="1" applyAlignment="1">
      <alignment horizontal="right"/>
    </xf>
    <xf numFmtId="0" fontId="3" fillId="2" borderId="0" xfId="0" applyFont="1" applyFill="1" applyBorder="1"/>
    <xf numFmtId="0" fontId="3" fillId="2" borderId="0" xfId="0" applyFont="1" applyFill="1"/>
    <xf numFmtId="0" fontId="19" fillId="2" borderId="0" xfId="0" applyFont="1" applyFill="1"/>
    <xf numFmtId="0" fontId="3" fillId="2" borderId="1" xfId="0" applyFont="1" applyFill="1" applyBorder="1" applyAlignment="1">
      <alignment horizontal="center" vertical="top" wrapText="1"/>
    </xf>
    <xf numFmtId="0" fontId="3" fillId="2" borderId="1" xfId="1" applyFont="1" applyFill="1" applyBorder="1" applyAlignment="1">
      <alignment horizontal="center" vertical="top"/>
    </xf>
    <xf numFmtId="0" fontId="3" fillId="2" borderId="1" xfId="0" applyFont="1" applyFill="1" applyBorder="1" applyAlignment="1">
      <alignment horizontal="center" vertical="top"/>
    </xf>
    <xf numFmtId="0" fontId="3" fillId="2" borderId="0" xfId="0" applyFont="1" applyFill="1" applyAlignment="1">
      <alignment horizontal="right"/>
    </xf>
    <xf numFmtId="0" fontId="4" fillId="2" borderId="1" xfId="0" applyFont="1" applyFill="1" applyBorder="1" applyAlignment="1">
      <alignment horizontal="center" vertical="top"/>
    </xf>
    <xf numFmtId="49" fontId="10" fillId="2" borderId="0" xfId="7" applyNumberFormat="1" applyFont="1" applyFill="1" applyBorder="1" applyAlignment="1">
      <alignment vertical="top" wrapText="1"/>
    </xf>
    <xf numFmtId="49" fontId="11" fillId="2" borderId="0" xfId="7" applyNumberFormat="1" applyFont="1" applyFill="1" applyBorder="1" applyAlignment="1">
      <alignment horizontal="center"/>
    </xf>
    <xf numFmtId="166" fontId="4" fillId="2" borderId="0" xfId="7" applyNumberFormat="1" applyFont="1" applyFill="1" applyBorder="1" applyAlignment="1"/>
    <xf numFmtId="168" fontId="11" fillId="2" borderId="0" xfId="7" applyNumberFormat="1" applyFont="1" applyFill="1"/>
    <xf numFmtId="0" fontId="11" fillId="2" borderId="0" xfId="7" applyFont="1" applyFill="1"/>
    <xf numFmtId="0" fontId="6" fillId="2" borderId="0" xfId="0" applyFont="1" applyFill="1"/>
    <xf numFmtId="166" fontId="4" fillId="2" borderId="0" xfId="0" applyNumberFormat="1" applyFont="1" applyFill="1" applyAlignment="1">
      <alignment horizontal="center"/>
    </xf>
    <xf numFmtId="166" fontId="3" fillId="2" borderId="0" xfId="1" applyNumberFormat="1" applyFont="1" applyFill="1" applyAlignment="1">
      <alignment horizontal="right"/>
    </xf>
    <xf numFmtId="166"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1" fontId="3" fillId="2" borderId="1" xfId="0" applyNumberFormat="1" applyFont="1" applyFill="1" applyBorder="1" applyAlignment="1">
      <alignment horizontal="center"/>
    </xf>
    <xf numFmtId="0" fontId="4" fillId="2" borderId="1" xfId="7" applyFont="1" applyFill="1" applyBorder="1" applyAlignment="1">
      <alignment vertical="top" wrapText="1"/>
    </xf>
    <xf numFmtId="166" fontId="4" fillId="2" borderId="1" xfId="0" applyNumberFormat="1" applyFont="1" applyFill="1" applyBorder="1" applyAlignment="1">
      <alignment horizontal="right" vertical="top"/>
    </xf>
    <xf numFmtId="0" fontId="6" fillId="2" borderId="1" xfId="1" applyFont="1" applyFill="1" applyBorder="1" applyAlignment="1">
      <alignment horizontal="center" vertical="top"/>
    </xf>
    <xf numFmtId="0" fontId="3" fillId="2" borderId="0" xfId="1" applyFont="1" applyFill="1"/>
    <xf numFmtId="49" fontId="3" fillId="2" borderId="0" xfId="5" applyNumberFormat="1" applyFont="1" applyFill="1" applyBorder="1" applyAlignment="1">
      <alignment horizontal="center" vertical="top" wrapText="1"/>
    </xf>
    <xf numFmtId="0" fontId="3" fillId="2" borderId="0" xfId="5" applyNumberFormat="1" applyFont="1" applyFill="1" applyBorder="1" applyAlignment="1">
      <alignment horizontal="left" wrapText="1"/>
    </xf>
    <xf numFmtId="166" fontId="3" fillId="2" borderId="0" xfId="5" applyNumberFormat="1" applyFont="1" applyFill="1" applyBorder="1" applyAlignment="1">
      <alignment horizontal="right" wrapText="1"/>
    </xf>
    <xf numFmtId="166" fontId="3" fillId="2" borderId="0" xfId="0" applyNumberFormat="1" applyFont="1" applyFill="1"/>
    <xf numFmtId="0" fontId="3" fillId="2" borderId="0" xfId="0" applyFont="1" applyFill="1" applyAlignment="1">
      <alignment vertical="top"/>
    </xf>
    <xf numFmtId="0" fontId="4" fillId="2" borderId="0" xfId="0" applyFont="1" applyFill="1" applyAlignment="1">
      <alignment horizontal="center" vertical="top"/>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6" fillId="2" borderId="1" xfId="0" applyFont="1" applyFill="1" applyBorder="1" applyAlignment="1">
      <alignment horizontal="center" vertical="top"/>
    </xf>
    <xf numFmtId="166" fontId="3" fillId="2" borderId="1" xfId="0" applyNumberFormat="1" applyFont="1" applyFill="1" applyBorder="1" applyAlignment="1">
      <alignment horizontal="right" vertical="top"/>
    </xf>
    <xf numFmtId="166" fontId="3" fillId="2" borderId="1" xfId="1" applyNumberFormat="1" applyFont="1" applyFill="1" applyBorder="1" applyAlignment="1">
      <alignment vertical="top"/>
    </xf>
    <xf numFmtId="0" fontId="3" fillId="2" borderId="0"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left" vertical="top"/>
    </xf>
    <xf numFmtId="0" fontId="3" fillId="2" borderId="1" xfId="0" applyFont="1" applyFill="1" applyBorder="1" applyAlignment="1">
      <alignment vertical="top"/>
    </xf>
    <xf numFmtId="166" fontId="1" fillId="2" borderId="1" xfId="0" applyNumberFormat="1" applyFont="1" applyFill="1" applyBorder="1" applyAlignment="1">
      <alignment vertical="top" wrapText="1"/>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16" fillId="2" borderId="0" xfId="0" applyFont="1" applyFill="1" applyBorder="1"/>
    <xf numFmtId="0" fontId="8" fillId="2" borderId="0" xfId="7" applyFont="1" applyFill="1"/>
    <xf numFmtId="49" fontId="14" fillId="2" borderId="0" xfId="7" applyNumberFormat="1" applyFont="1" applyFill="1" applyBorder="1" applyAlignment="1">
      <alignment vertical="top" wrapText="1"/>
    </xf>
    <xf numFmtId="49" fontId="8" fillId="2" borderId="0" xfId="7" applyNumberFormat="1" applyFont="1" applyFill="1" applyBorder="1" applyAlignment="1">
      <alignment horizontal="center"/>
    </xf>
    <xf numFmtId="49" fontId="1" fillId="2" borderId="1" xfId="7" applyNumberFormat="1" applyFont="1" applyFill="1" applyBorder="1" applyAlignment="1">
      <alignment horizontal="center"/>
    </xf>
    <xf numFmtId="0" fontId="1" fillId="2" borderId="1" xfId="7" applyFont="1" applyFill="1" applyBorder="1" applyAlignment="1">
      <alignment horizontal="center" vertical="top"/>
    </xf>
    <xf numFmtId="49" fontId="2" fillId="2" borderId="1" xfId="7" applyNumberFormat="1" applyFont="1" applyFill="1" applyBorder="1" applyAlignment="1">
      <alignment horizontal="center"/>
    </xf>
    <xf numFmtId="49" fontId="1" fillId="2" borderId="17" xfId="11" applyNumberFormat="1" applyFont="1" applyFill="1" applyBorder="1" applyAlignment="1">
      <alignment horizontal="center"/>
    </xf>
    <xf numFmtId="49" fontId="1" fillId="2" borderId="18" xfId="16" applyNumberFormat="1" applyFont="1" applyFill="1" applyBorder="1" applyAlignment="1">
      <alignment horizontal="center"/>
    </xf>
    <xf numFmtId="49" fontId="1" fillId="2" borderId="19" xfId="16" applyNumberFormat="1" applyFont="1" applyFill="1" applyBorder="1" applyAlignment="1">
      <alignment horizontal="center"/>
    </xf>
    <xf numFmtId="49" fontId="1" fillId="2" borderId="16" xfId="16" applyNumberFormat="1" applyFont="1" applyFill="1" applyBorder="1" applyAlignment="1">
      <alignment horizontal="center"/>
    </xf>
    <xf numFmtId="0" fontId="2" fillId="2" borderId="1" xfId="7" applyFont="1" applyFill="1" applyBorder="1" applyAlignment="1">
      <alignment horizontal="center" vertical="top"/>
    </xf>
    <xf numFmtId="49" fontId="2" fillId="2" borderId="9" xfId="7" applyNumberFormat="1" applyFont="1" applyFill="1" applyBorder="1" applyAlignment="1">
      <alignment horizontal="center"/>
    </xf>
    <xf numFmtId="49" fontId="2" fillId="2" borderId="3" xfId="7" applyNumberFormat="1" applyFont="1" applyFill="1" applyBorder="1" applyAlignment="1">
      <alignment horizontal="center"/>
    </xf>
    <xf numFmtId="49" fontId="1" fillId="2" borderId="9" xfId="6" applyNumberFormat="1" applyFont="1" applyFill="1" applyBorder="1" applyAlignment="1">
      <alignment horizontal="center"/>
    </xf>
    <xf numFmtId="49" fontId="1" fillId="2" borderId="3" xfId="6" applyNumberFormat="1" applyFont="1" applyFill="1" applyBorder="1" applyAlignment="1">
      <alignment horizontal="center"/>
    </xf>
    <xf numFmtId="49" fontId="1" fillId="2" borderId="1" xfId="6" applyNumberFormat="1" applyFont="1" applyFill="1" applyBorder="1" applyAlignment="1">
      <alignment horizontal="center"/>
    </xf>
    <xf numFmtId="49" fontId="1" fillId="2" borderId="0" xfId="7" applyNumberFormat="1" applyFont="1" applyFill="1" applyBorder="1" applyAlignment="1">
      <alignment horizontal="center"/>
    </xf>
    <xf numFmtId="49" fontId="1" fillId="2" borderId="17" xfId="6" applyNumberFormat="1" applyFont="1" applyFill="1" applyBorder="1" applyAlignment="1">
      <alignment horizontal="center"/>
    </xf>
    <xf numFmtId="49" fontId="1" fillId="2" borderId="18" xfId="14" applyNumberFormat="1" applyFont="1" applyFill="1" applyBorder="1" applyAlignment="1">
      <alignment horizontal="center"/>
    </xf>
    <xf numFmtId="49" fontId="1" fillId="2" borderId="19" xfId="14" applyNumberFormat="1" applyFont="1" applyFill="1" applyBorder="1" applyAlignment="1">
      <alignment horizontal="center"/>
    </xf>
    <xf numFmtId="49" fontId="1" fillId="2" borderId="21" xfId="14" applyNumberFormat="1" applyFont="1" applyFill="1" applyBorder="1" applyAlignment="1">
      <alignment horizontal="center"/>
    </xf>
    <xf numFmtId="49" fontId="1" fillId="2" borderId="16" xfId="14" applyNumberFormat="1" applyFont="1" applyFill="1" applyBorder="1" applyAlignment="1">
      <alignment horizontal="center"/>
    </xf>
    <xf numFmtId="49" fontId="1" fillId="2" borderId="20" xfId="6" applyNumberFormat="1" applyFont="1" applyFill="1" applyBorder="1" applyAlignment="1">
      <alignment horizontal="center"/>
    </xf>
    <xf numFmtId="49" fontId="1" fillId="2" borderId="20" xfId="14" applyNumberFormat="1" applyFont="1" applyFill="1" applyBorder="1" applyAlignment="1">
      <alignment horizontal="center"/>
    </xf>
    <xf numFmtId="49" fontId="1" fillId="2" borderId="17" xfId="5" applyNumberFormat="1" applyFont="1" applyFill="1" applyBorder="1" applyAlignment="1">
      <alignment horizontal="center"/>
    </xf>
    <xf numFmtId="49" fontId="1" fillId="2" borderId="18" xfId="5" applyNumberFormat="1" applyFont="1" applyFill="1" applyBorder="1" applyAlignment="1">
      <alignment horizontal="center"/>
    </xf>
    <xf numFmtId="49" fontId="1" fillId="2" borderId="19" xfId="5" applyNumberFormat="1" applyFont="1" applyFill="1" applyBorder="1" applyAlignment="1">
      <alignment horizontal="center"/>
    </xf>
    <xf numFmtId="49" fontId="1" fillId="2" borderId="16" xfId="5" applyNumberFormat="1" applyFont="1" applyFill="1" applyBorder="1" applyAlignment="1">
      <alignment horizontal="center"/>
    </xf>
    <xf numFmtId="49" fontId="1" fillId="2" borderId="19" xfId="16" applyNumberFormat="1" applyFont="1" applyFill="1" applyBorder="1" applyAlignment="1">
      <alignment horizontal="center" wrapText="1"/>
    </xf>
    <xf numFmtId="49" fontId="1" fillId="2" borderId="0" xfId="0" applyNumberFormat="1" applyFont="1" applyFill="1" applyBorder="1" applyAlignment="1">
      <alignment horizontal="center"/>
    </xf>
    <xf numFmtId="166" fontId="2" fillId="2" borderId="0" xfId="7" applyNumberFormat="1" applyFont="1" applyFill="1" applyBorder="1" applyAlignment="1"/>
    <xf numFmtId="168" fontId="1" fillId="2" borderId="0" xfId="7" applyNumberFormat="1" applyFont="1" applyFill="1" applyAlignment="1">
      <alignment horizontal="right"/>
    </xf>
    <xf numFmtId="166" fontId="2" fillId="2" borderId="1" xfId="0" applyNumberFormat="1" applyFont="1" applyFill="1" applyBorder="1" applyAlignment="1">
      <alignment horizontal="right" vertical="top"/>
    </xf>
    <xf numFmtId="0" fontId="3" fillId="2" borderId="0" xfId="5" applyFont="1" applyFill="1" applyBorder="1" applyAlignment="1">
      <alignment horizontal="left" vertical="top" wrapText="1"/>
    </xf>
    <xf numFmtId="166" fontId="3" fillId="2" borderId="0" xfId="0" applyNumberFormat="1" applyFont="1" applyFill="1" applyBorder="1" applyAlignment="1">
      <alignment horizontal="right" vertical="top"/>
    </xf>
    <xf numFmtId="0" fontId="2" fillId="2" borderId="1" xfId="0" applyFont="1" applyFill="1" applyBorder="1" applyAlignment="1">
      <alignment horizontal="center" vertical="top"/>
    </xf>
    <xf numFmtId="0" fontId="14" fillId="2" borderId="0" xfId="0" applyFont="1" applyFill="1"/>
    <xf numFmtId="168" fontId="16" fillId="2" borderId="0" xfId="0" applyNumberFormat="1" applyFont="1" applyFill="1"/>
    <xf numFmtId="168" fontId="3" fillId="2" borderId="0" xfId="0" applyNumberFormat="1" applyFont="1" applyFill="1" applyBorder="1" applyAlignment="1">
      <alignment horizontal="right"/>
    </xf>
    <xf numFmtId="49" fontId="2" fillId="2" borderId="1" xfId="0" applyNumberFormat="1" applyFont="1" applyFill="1" applyBorder="1" applyAlignment="1">
      <alignment vertical="top" wrapText="1"/>
    </xf>
    <xf numFmtId="0" fontId="10" fillId="2" borderId="0" xfId="0" applyFont="1" applyFill="1"/>
    <xf numFmtId="0" fontId="11" fillId="2" borderId="0" xfId="0" applyFont="1" applyFill="1"/>
    <xf numFmtId="0" fontId="21" fillId="2" borderId="0" xfId="0" applyFont="1" applyFill="1"/>
    <xf numFmtId="0" fontId="2" fillId="2" borderId="16" xfId="16" applyFont="1" applyFill="1" applyBorder="1" applyAlignment="1">
      <alignment horizontal="center" vertical="top"/>
    </xf>
    <xf numFmtId="49" fontId="2" fillId="2" borderId="16" xfId="16" applyNumberFormat="1" applyFont="1" applyFill="1" applyBorder="1" applyAlignment="1">
      <alignment horizontal="center" wrapText="1"/>
    </xf>
    <xf numFmtId="49" fontId="2" fillId="2" borderId="16" xfId="16" applyNumberFormat="1" applyFont="1" applyFill="1" applyBorder="1" applyAlignment="1">
      <alignment horizontal="center"/>
    </xf>
    <xf numFmtId="49" fontId="2" fillId="2" borderId="25" xfId="16" applyNumberFormat="1" applyFont="1" applyFill="1" applyBorder="1" applyAlignment="1">
      <alignment horizontal="center"/>
    </xf>
    <xf numFmtId="49" fontId="2" fillId="2" borderId="20" xfId="16" applyNumberFormat="1" applyFont="1" applyFill="1" applyBorder="1" applyAlignment="1">
      <alignment horizontal="center"/>
    </xf>
    <xf numFmtId="49" fontId="2" fillId="2" borderId="26" xfId="16" applyNumberFormat="1" applyFont="1" applyFill="1" applyBorder="1" applyAlignment="1">
      <alignment horizontal="center"/>
    </xf>
    <xf numFmtId="166" fontId="2" fillId="2" borderId="16" xfId="16" applyNumberFormat="1" applyFont="1" applyFill="1" applyBorder="1" applyAlignment="1">
      <alignment horizontal="right"/>
    </xf>
    <xf numFmtId="0" fontId="14" fillId="2" borderId="0" xfId="16" applyFont="1" applyFill="1"/>
    <xf numFmtId="0" fontId="1" fillId="2" borderId="16" xfId="16" applyFont="1" applyFill="1" applyBorder="1" applyAlignment="1">
      <alignment horizontal="center" vertical="top"/>
    </xf>
    <xf numFmtId="49" fontId="1" fillId="2" borderId="16" xfId="11" applyNumberFormat="1" applyFont="1" applyFill="1" applyBorder="1" applyAlignment="1">
      <alignment horizontal="center" wrapText="1"/>
    </xf>
    <xf numFmtId="49" fontId="1" fillId="2" borderId="16" xfId="11" applyNumberFormat="1" applyFont="1" applyFill="1" applyBorder="1" applyAlignment="1">
      <alignment horizontal="center"/>
    </xf>
    <xf numFmtId="49" fontId="1" fillId="2" borderId="17" xfId="16" applyNumberFormat="1" applyFont="1" applyFill="1" applyBorder="1" applyAlignment="1">
      <alignment horizontal="center"/>
    </xf>
    <xf numFmtId="166" fontId="1" fillId="2" borderId="16" xfId="16" applyNumberFormat="1" applyFont="1" applyFill="1" applyBorder="1" applyAlignment="1">
      <alignment horizontal="right"/>
    </xf>
    <xf numFmtId="0" fontId="8" fillId="2" borderId="0" xfId="16" applyFont="1" applyFill="1"/>
    <xf numFmtId="49" fontId="1" fillId="2" borderId="25" xfId="11" applyNumberFormat="1" applyFont="1" applyFill="1" applyBorder="1" applyAlignment="1">
      <alignment horizontal="center"/>
    </xf>
    <xf numFmtId="49" fontId="1" fillId="2" borderId="20" xfId="16" applyNumberFormat="1" applyFont="1" applyFill="1" applyBorder="1" applyAlignment="1">
      <alignment horizontal="center"/>
    </xf>
    <xf numFmtId="49" fontId="1" fillId="2" borderId="26" xfId="16" applyNumberFormat="1" applyFont="1" applyFill="1" applyBorder="1" applyAlignment="1">
      <alignment horizontal="center"/>
    </xf>
    <xf numFmtId="49" fontId="1" fillId="2" borderId="25" xfId="6" applyNumberFormat="1" applyFont="1" applyFill="1" applyBorder="1" applyAlignment="1">
      <alignment horizontal="center"/>
    </xf>
    <xf numFmtId="49" fontId="1" fillId="2" borderId="18" xfId="6" applyNumberFormat="1" applyFont="1" applyFill="1" applyBorder="1" applyAlignment="1">
      <alignment horizontal="center"/>
    </xf>
    <xf numFmtId="0" fontId="1" fillId="2" borderId="16" xfId="5" applyFont="1" applyFill="1" applyBorder="1" applyAlignment="1">
      <alignment horizontal="center" vertical="top"/>
    </xf>
    <xf numFmtId="49" fontId="1" fillId="2" borderId="16" xfId="5" applyNumberFormat="1" applyFont="1" applyFill="1" applyBorder="1" applyAlignment="1">
      <alignment horizontal="center" wrapText="1"/>
    </xf>
    <xf numFmtId="0" fontId="8" fillId="2" borderId="0" xfId="5" applyFont="1" applyFill="1"/>
    <xf numFmtId="0" fontId="14" fillId="2" borderId="0" xfId="5" applyFont="1" applyFill="1"/>
    <xf numFmtId="166" fontId="10" fillId="2" borderId="0" xfId="0" applyNumberFormat="1" applyFont="1" applyFill="1"/>
    <xf numFmtId="166" fontId="11" fillId="2" borderId="0" xfId="0" applyNumberFormat="1" applyFont="1" applyFill="1"/>
    <xf numFmtId="49" fontId="1" fillId="2" borderId="1" xfId="6" applyNumberFormat="1" applyFont="1" applyFill="1" applyBorder="1" applyAlignment="1">
      <alignment horizontal="center" wrapText="1"/>
    </xf>
    <xf numFmtId="168" fontId="8" fillId="2" borderId="0" xfId="7" applyNumberFormat="1" applyFont="1" applyFill="1"/>
    <xf numFmtId="0" fontId="18" fillId="2" borderId="0" xfId="0" applyFont="1" applyFill="1"/>
    <xf numFmtId="168" fontId="18" fillId="2" borderId="0" xfId="0" applyNumberFormat="1" applyFont="1" applyFill="1"/>
    <xf numFmtId="166" fontId="11" fillId="2" borderId="1" xfId="0" applyNumberFormat="1" applyFont="1" applyFill="1" applyBorder="1"/>
    <xf numFmtId="49" fontId="4" fillId="2" borderId="1" xfId="0" applyNumberFormat="1" applyFont="1" applyFill="1" applyBorder="1" applyAlignment="1">
      <alignment horizontal="center"/>
    </xf>
    <xf numFmtId="166" fontId="10" fillId="2" borderId="1" xfId="0" applyNumberFormat="1" applyFont="1" applyFill="1" applyBorder="1"/>
    <xf numFmtId="49" fontId="3" fillId="2" borderId="1" xfId="0" applyNumberFormat="1" applyFont="1" applyFill="1" applyBorder="1" applyAlignment="1">
      <alignment horizontal="left"/>
    </xf>
    <xf numFmtId="168" fontId="3" fillId="2" borderId="1" xfId="0" applyNumberFormat="1" applyFont="1" applyFill="1" applyBorder="1"/>
    <xf numFmtId="172" fontId="8" fillId="2" borderId="0" xfId="0" applyNumberFormat="1" applyFont="1" applyFill="1"/>
    <xf numFmtId="166" fontId="3" fillId="2" borderId="0" xfId="0" applyNumberFormat="1" applyFont="1" applyFill="1" applyAlignment="1">
      <alignment horizontal="right"/>
    </xf>
    <xf numFmtId="49" fontId="1" fillId="2" borderId="16" xfId="12" applyNumberFormat="1" applyFont="1" applyFill="1" applyBorder="1" applyAlignment="1">
      <alignment horizontal="center" wrapText="1"/>
    </xf>
    <xf numFmtId="49" fontId="1" fillId="2" borderId="16" xfId="12" applyNumberFormat="1" applyFont="1" applyFill="1" applyBorder="1" applyAlignment="1">
      <alignment horizontal="center"/>
    </xf>
    <xf numFmtId="49" fontId="1" fillId="2" borderId="17" xfId="12" applyNumberFormat="1" applyFont="1" applyFill="1" applyBorder="1" applyAlignment="1">
      <alignment horizontal="center"/>
    </xf>
    <xf numFmtId="49" fontId="1" fillId="2" borderId="18" xfId="12" applyNumberFormat="1" applyFont="1" applyFill="1" applyBorder="1" applyAlignment="1">
      <alignment horizontal="center"/>
    </xf>
    <xf numFmtId="49" fontId="1" fillId="2" borderId="19" xfId="12" applyNumberFormat="1" applyFont="1" applyFill="1" applyBorder="1" applyAlignment="1">
      <alignment horizontal="center"/>
    </xf>
    <xf numFmtId="172" fontId="8" fillId="2" borderId="0" xfId="16" applyNumberFormat="1" applyFont="1" applyFill="1"/>
    <xf numFmtId="49" fontId="1" fillId="2" borderId="0" xfId="16" applyNumberFormat="1" applyFont="1" applyFill="1" applyBorder="1" applyAlignment="1">
      <alignment horizontal="center"/>
    </xf>
    <xf numFmtId="0" fontId="1" fillId="2" borderId="21" xfId="14" applyFont="1" applyFill="1" applyBorder="1" applyAlignment="1">
      <alignment horizontal="center" vertical="top"/>
    </xf>
    <xf numFmtId="49" fontId="1" fillId="2" borderId="27" xfId="11" applyNumberFormat="1" applyFont="1" applyFill="1" applyBorder="1" applyAlignment="1">
      <alignment horizontal="center" wrapText="1"/>
    </xf>
    <xf numFmtId="49" fontId="1" fillId="2" borderId="27" xfId="11" applyNumberFormat="1" applyFont="1" applyFill="1" applyBorder="1" applyAlignment="1">
      <alignment horizontal="center"/>
    </xf>
    <xf numFmtId="166" fontId="1" fillId="2" borderId="21" xfId="14" applyNumberFormat="1" applyFont="1" applyFill="1" applyBorder="1" applyAlignment="1">
      <alignment horizontal="right"/>
    </xf>
    <xf numFmtId="172" fontId="8" fillId="2" borderId="0" xfId="14" applyNumberFormat="1" applyFont="1" applyFill="1"/>
    <xf numFmtId="0" fontId="8" fillId="2" borderId="0" xfId="14" applyFont="1" applyFill="1"/>
    <xf numFmtId="0" fontId="1" fillId="2" borderId="16" xfId="14" applyFont="1" applyFill="1" applyBorder="1" applyAlignment="1">
      <alignment horizontal="center" vertical="top"/>
    </xf>
    <xf numFmtId="166" fontId="1" fillId="2" borderId="16" xfId="14" applyNumberFormat="1" applyFont="1" applyFill="1" applyBorder="1" applyAlignment="1">
      <alignment horizontal="right"/>
    </xf>
    <xf numFmtId="49" fontId="1" fillId="2" borderId="26" xfId="14" applyNumberFormat="1" applyFont="1" applyFill="1" applyBorder="1" applyAlignment="1">
      <alignment horizontal="center"/>
    </xf>
    <xf numFmtId="49" fontId="1" fillId="2" borderId="23" xfId="14" applyNumberFormat="1" applyFont="1" applyFill="1" applyBorder="1" applyAlignment="1">
      <alignment horizontal="center"/>
    </xf>
    <xf numFmtId="0" fontId="1" fillId="2" borderId="23" xfId="14" applyFont="1" applyFill="1" applyBorder="1" applyAlignment="1">
      <alignment horizontal="center" vertical="top"/>
    </xf>
    <xf numFmtId="49" fontId="1" fillId="2" borderId="23" xfId="11" applyNumberFormat="1" applyFont="1" applyFill="1" applyBorder="1" applyAlignment="1">
      <alignment horizontal="center" wrapText="1"/>
    </xf>
    <xf numFmtId="166" fontId="1" fillId="2" borderId="16" xfId="5" applyNumberFormat="1" applyFont="1" applyFill="1" applyBorder="1" applyAlignment="1">
      <alignment horizontal="right"/>
    </xf>
    <xf numFmtId="169" fontId="10" fillId="2" borderId="0" xfId="0" applyNumberFormat="1" applyFont="1" applyFill="1"/>
    <xf numFmtId="169" fontId="14" fillId="2" borderId="0" xfId="0" applyNumberFormat="1" applyFont="1" applyFill="1"/>
    <xf numFmtId="0" fontId="1" fillId="2" borderId="0" xfId="0" applyFont="1" applyFill="1" applyBorder="1" applyAlignment="1">
      <alignment horizontal="center" vertical="top"/>
    </xf>
    <xf numFmtId="49" fontId="1" fillId="2" borderId="0" xfId="0" applyNumberFormat="1" applyFont="1" applyFill="1" applyBorder="1" applyAlignment="1">
      <alignment horizontal="center" wrapText="1"/>
    </xf>
    <xf numFmtId="166" fontId="1" fillId="2" borderId="0" xfId="0" applyNumberFormat="1" applyFont="1" applyFill="1" applyBorder="1" applyAlignment="1">
      <alignment horizontal="right"/>
    </xf>
    <xf numFmtId="0" fontId="21" fillId="2" borderId="0" xfId="0" applyFont="1" applyFill="1" applyBorder="1"/>
    <xf numFmtId="166" fontId="11" fillId="2" borderId="0" xfId="0" applyNumberFormat="1" applyFont="1" applyFill="1" applyBorder="1"/>
    <xf numFmtId="166" fontId="10" fillId="2" borderId="0" xfId="0" applyNumberFormat="1" applyFont="1" applyFill="1" applyBorder="1"/>
    <xf numFmtId="170" fontId="1" fillId="2" borderId="0" xfId="1" applyNumberFormat="1" applyFont="1" applyFill="1" applyAlignment="1">
      <alignment horizontal="right"/>
    </xf>
    <xf numFmtId="170" fontId="1" fillId="2" borderId="1" xfId="1" applyNumberFormat="1" applyFont="1" applyFill="1" applyBorder="1" applyAlignment="1">
      <alignment horizontal="center" vertical="center" wrapText="1"/>
    </xf>
    <xf numFmtId="3" fontId="1" fillId="2" borderId="1" xfId="1" applyNumberFormat="1" applyFont="1" applyFill="1" applyBorder="1" applyAlignment="1">
      <alignment horizontal="center" vertical="center" wrapText="1"/>
    </xf>
    <xf numFmtId="167" fontId="2" fillId="2" borderId="1" xfId="1" applyNumberFormat="1" applyFont="1" applyFill="1" applyBorder="1" applyAlignment="1">
      <alignment horizontal="right"/>
    </xf>
    <xf numFmtId="167" fontId="1" fillId="2" borderId="1" xfId="1" applyNumberFormat="1" applyFont="1" applyFill="1" applyBorder="1" applyAlignment="1"/>
    <xf numFmtId="167" fontId="2" fillId="2" borderId="1" xfId="10" applyNumberFormat="1" applyFont="1" applyFill="1" applyBorder="1" applyAlignment="1">
      <alignment vertical="top"/>
    </xf>
    <xf numFmtId="170" fontId="1" fillId="2" borderId="0" xfId="1" applyNumberFormat="1" applyFont="1" applyFill="1"/>
    <xf numFmtId="170" fontId="1" fillId="2" borderId="0" xfId="7" applyNumberFormat="1" applyFont="1" applyFill="1" applyBorder="1"/>
    <xf numFmtId="0" fontId="1" fillId="2" borderId="0" xfId="1" applyFont="1" applyFill="1"/>
    <xf numFmtId="167" fontId="1" fillId="2" borderId="1" xfId="1" applyNumberFormat="1" applyFont="1" applyFill="1" applyBorder="1" applyAlignment="1">
      <alignment horizontal="right" vertical="top"/>
    </xf>
    <xf numFmtId="166" fontId="1" fillId="2" borderId="23" xfId="16" applyNumberFormat="1" applyFont="1" applyFill="1" applyBorder="1" applyAlignment="1">
      <alignment horizontal="right"/>
    </xf>
    <xf numFmtId="166" fontId="1" fillId="2" borderId="1" xfId="3" applyNumberFormat="1" applyFont="1" applyFill="1" applyBorder="1" applyAlignment="1">
      <alignment horizontal="right" wrapText="1"/>
    </xf>
    <xf numFmtId="0" fontId="2" fillId="2" borderId="1" xfId="3" applyFont="1" applyFill="1" applyBorder="1" applyAlignment="1">
      <alignment wrapText="1"/>
    </xf>
    <xf numFmtId="0" fontId="1" fillId="2" borderId="1" xfId="3" applyFont="1" applyFill="1" applyBorder="1" applyAlignment="1">
      <alignment wrapText="1"/>
    </xf>
    <xf numFmtId="49" fontId="3" fillId="2" borderId="1" xfId="3" applyNumberFormat="1" applyFont="1" applyFill="1" applyBorder="1" applyAlignment="1">
      <alignment horizontal="center" vertical="top"/>
    </xf>
    <xf numFmtId="0" fontId="3" fillId="2" borderId="1" xfId="3" applyFont="1" applyFill="1" applyBorder="1" applyAlignment="1">
      <alignment wrapText="1"/>
    </xf>
    <xf numFmtId="166" fontId="3" fillId="2" borderId="1" xfId="3" applyNumberFormat="1" applyFont="1" applyFill="1" applyBorder="1" applyAlignment="1">
      <alignment horizontal="right" wrapText="1"/>
    </xf>
    <xf numFmtId="0" fontId="13" fillId="2" borderId="0" xfId="3" applyFont="1" applyFill="1"/>
    <xf numFmtId="2" fontId="16" fillId="2" borderId="0" xfId="0" applyNumberFormat="1" applyFont="1" applyFill="1"/>
    <xf numFmtId="0" fontId="3" fillId="2" borderId="1" xfId="0" applyFont="1" applyFill="1" applyBorder="1" applyAlignment="1">
      <alignment wrapText="1"/>
    </xf>
    <xf numFmtId="0" fontId="1" fillId="2" borderId="1" xfId="0" applyFont="1" applyFill="1" applyBorder="1" applyAlignment="1">
      <alignment vertical="top" wrapText="1"/>
    </xf>
    <xf numFmtId="49" fontId="3" fillId="2" borderId="2" xfId="0" applyNumberFormat="1" applyFont="1" applyFill="1" applyBorder="1" applyAlignment="1">
      <alignment horizontal="center"/>
    </xf>
    <xf numFmtId="49" fontId="3" fillId="2" borderId="9" xfId="0" applyNumberFormat="1" applyFont="1" applyFill="1" applyBorder="1" applyAlignment="1">
      <alignment horizontal="center"/>
    </xf>
    <xf numFmtId="49" fontId="3" fillId="2" borderId="3" xfId="0" applyNumberFormat="1" applyFont="1" applyFill="1" applyBorder="1" applyAlignment="1">
      <alignment horizontal="center"/>
    </xf>
    <xf numFmtId="166" fontId="3" fillId="2" borderId="1" xfId="0" applyNumberFormat="1" applyFont="1" applyFill="1" applyBorder="1" applyAlignment="1">
      <alignment horizontal="right"/>
    </xf>
    <xf numFmtId="49" fontId="1" fillId="2" borderId="0" xfId="12" applyNumberFormat="1" applyFont="1" applyFill="1" applyBorder="1" applyAlignment="1">
      <alignment horizontal="center"/>
    </xf>
    <xf numFmtId="49" fontId="1" fillId="2" borderId="1" xfId="12" applyNumberFormat="1" applyFont="1" applyFill="1" applyBorder="1" applyAlignment="1">
      <alignment horizontal="center"/>
    </xf>
    <xf numFmtId="0" fontId="1" fillId="2" borderId="1" xfId="16" applyFont="1" applyFill="1" applyBorder="1" applyAlignment="1">
      <alignment horizontal="center" vertical="top"/>
    </xf>
    <xf numFmtId="49" fontId="3" fillId="2" borderId="3" xfId="0" applyNumberFormat="1" applyFont="1" applyFill="1" applyBorder="1" applyAlignment="1">
      <alignment wrapText="1"/>
    </xf>
    <xf numFmtId="49" fontId="3" fillId="2" borderId="1" xfId="0" applyNumberFormat="1" applyFont="1" applyFill="1" applyBorder="1" applyAlignment="1">
      <alignment horizontal="center" wrapText="1"/>
    </xf>
    <xf numFmtId="166" fontId="3" fillId="2" borderId="1" xfId="7" applyNumberFormat="1" applyFont="1" applyFill="1" applyBorder="1" applyAlignment="1">
      <alignment horizontal="right"/>
    </xf>
    <xf numFmtId="0" fontId="3" fillId="2" borderId="1" xfId="5" applyFont="1" applyFill="1" applyBorder="1" applyAlignment="1">
      <alignment horizontal="left" vertical="top" wrapText="1"/>
    </xf>
    <xf numFmtId="0" fontId="2" fillId="2" borderId="1" xfId="7" applyFont="1" applyFill="1" applyBorder="1" applyAlignment="1">
      <alignment vertical="top" wrapText="1"/>
    </xf>
    <xf numFmtId="0" fontId="1" fillId="2" borderId="1" xfId="7" applyFont="1" applyFill="1" applyBorder="1" applyAlignment="1">
      <alignment vertical="top" wrapText="1"/>
    </xf>
    <xf numFmtId="0" fontId="1" fillId="2" borderId="1" xfId="0" applyFont="1" applyFill="1" applyBorder="1" applyAlignment="1">
      <alignment horizontal="left" wrapText="1"/>
    </xf>
    <xf numFmtId="0" fontId="12" fillId="2" borderId="0" xfId="1" applyFont="1" applyFill="1"/>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1" fillId="2" borderId="0" xfId="3" applyFont="1" applyFill="1"/>
    <xf numFmtId="0" fontId="3" fillId="2" borderId="1" xfId="7" applyFont="1" applyFill="1" applyBorder="1" applyAlignment="1">
      <alignment horizontal="center"/>
    </xf>
    <xf numFmtId="1" fontId="3" fillId="2" borderId="1" xfId="7" applyNumberFormat="1" applyFont="1" applyFill="1" applyBorder="1" applyAlignment="1">
      <alignment horizontal="center"/>
    </xf>
    <xf numFmtId="0" fontId="2" fillId="2" borderId="1" xfId="3" applyFont="1" applyFill="1" applyBorder="1" applyAlignment="1">
      <alignment horizontal="center" vertical="top" wrapText="1"/>
    </xf>
    <xf numFmtId="0" fontId="4" fillId="2" borderId="1" xfId="3" applyFont="1" applyFill="1" applyBorder="1" applyAlignment="1">
      <alignment horizontal="center" vertical="top" wrapText="1"/>
    </xf>
    <xf numFmtId="0" fontId="2" fillId="2" borderId="1" xfId="3" applyFont="1" applyFill="1" applyBorder="1" applyAlignment="1">
      <alignment horizontal="center" vertical="top"/>
    </xf>
    <xf numFmtId="166" fontId="4" fillId="2" borderId="1" xfId="3" applyNumberFormat="1" applyFont="1" applyFill="1" applyBorder="1" applyAlignment="1">
      <alignment horizontal="right" wrapText="1"/>
    </xf>
    <xf numFmtId="0" fontId="3" fillId="2" borderId="1" xfId="3" applyFont="1" applyFill="1" applyBorder="1" applyAlignment="1">
      <alignment horizontal="center" vertical="top" wrapText="1"/>
    </xf>
    <xf numFmtId="0" fontId="1" fillId="2" borderId="1" xfId="3" applyFont="1" applyFill="1" applyBorder="1" applyAlignment="1">
      <alignment horizontal="center" vertical="top"/>
    </xf>
    <xf numFmtId="49" fontId="3" fillId="2" borderId="1" xfId="9" applyNumberFormat="1" applyFont="1" applyFill="1" applyBorder="1" applyAlignment="1">
      <alignment wrapText="1"/>
    </xf>
    <xf numFmtId="166" fontId="2" fillId="2" borderId="1" xfId="3" applyNumberFormat="1" applyFont="1" applyFill="1" applyBorder="1" applyAlignment="1"/>
    <xf numFmtId="0" fontId="13" fillId="2" borderId="1" xfId="3" applyFont="1" applyFill="1" applyBorder="1" applyAlignment="1">
      <alignment vertical="top"/>
    </xf>
    <xf numFmtId="166" fontId="1" fillId="2" borderId="1" xfId="3" applyNumberFormat="1" applyFont="1" applyFill="1" applyBorder="1" applyAlignment="1"/>
    <xf numFmtId="49" fontId="3" fillId="2" borderId="1" xfId="7" applyNumberFormat="1" applyFont="1" applyFill="1" applyBorder="1" applyAlignment="1">
      <alignment horizontal="center"/>
    </xf>
    <xf numFmtId="49" fontId="3" fillId="2" borderId="1" xfId="7" applyNumberFormat="1" applyFont="1" applyFill="1" applyBorder="1" applyAlignment="1">
      <alignment horizontal="left" wrapText="1"/>
    </xf>
    <xf numFmtId="49" fontId="3" fillId="2" borderId="1" xfId="7" applyNumberFormat="1" applyFont="1" applyFill="1" applyBorder="1" applyAlignment="1">
      <alignment horizontal="center" wrapText="1"/>
    </xf>
    <xf numFmtId="49" fontId="2" fillId="2" borderId="2" xfId="7" applyNumberFormat="1" applyFont="1" applyFill="1" applyBorder="1" applyAlignment="1">
      <alignment horizontal="center"/>
    </xf>
    <xf numFmtId="49" fontId="1" fillId="2" borderId="1" xfId="7" applyNumberFormat="1" applyFont="1" applyFill="1" applyBorder="1" applyAlignment="1">
      <alignment horizontal="center" wrapText="1"/>
    </xf>
    <xf numFmtId="170" fontId="1" fillId="2" borderId="0" xfId="7" applyNumberFormat="1" applyFont="1" applyFill="1" applyBorder="1" applyAlignment="1">
      <alignment horizontal="right"/>
    </xf>
    <xf numFmtId="0" fontId="3" fillId="2" borderId="9" xfId="3" applyFont="1" applyFill="1" applyBorder="1" applyAlignment="1">
      <alignment horizontal="center" wrapText="1"/>
    </xf>
    <xf numFmtId="0" fontId="3" fillId="2" borderId="1" xfId="3" applyFont="1" applyFill="1" applyBorder="1" applyAlignment="1">
      <alignment horizontal="center" wrapText="1"/>
    </xf>
    <xf numFmtId="0" fontId="4" fillId="2" borderId="5" xfId="3" applyFont="1" applyFill="1" applyBorder="1" applyAlignment="1">
      <alignment horizontal="center" vertical="top"/>
    </xf>
    <xf numFmtId="174" fontId="4" fillId="2" borderId="5" xfId="13" applyNumberFormat="1" applyFont="1" applyFill="1" applyBorder="1" applyAlignment="1">
      <alignment horizontal="right" vertical="center"/>
    </xf>
    <xf numFmtId="0" fontId="4" fillId="2" borderId="12" xfId="3" applyFont="1" applyFill="1" applyBorder="1" applyAlignment="1">
      <alignment horizontal="center" vertical="top"/>
    </xf>
    <xf numFmtId="0" fontId="3" fillId="2" borderId="12" xfId="3" applyFont="1" applyFill="1" applyBorder="1" applyAlignment="1">
      <alignment horizontal="center" vertical="top"/>
    </xf>
    <xf numFmtId="0" fontId="3" fillId="2" borderId="13" xfId="3" applyFont="1" applyFill="1" applyBorder="1" applyAlignment="1">
      <alignment horizontal="center" vertical="top"/>
    </xf>
    <xf numFmtId="166" fontId="4" fillId="2" borderId="1" xfId="7" applyNumberFormat="1" applyFont="1" applyFill="1" applyBorder="1" applyAlignment="1">
      <alignment horizontal="right"/>
    </xf>
    <xf numFmtId="166" fontId="3" fillId="2" borderId="1" xfId="0" applyNumberFormat="1" applyFont="1" applyFill="1" applyBorder="1"/>
    <xf numFmtId="166" fontId="2" fillId="2" borderId="1" xfId="19" applyNumberFormat="1" applyFont="1" applyFill="1" applyBorder="1" applyAlignment="1">
      <alignment horizontal="right" vertical="top"/>
    </xf>
    <xf numFmtId="166" fontId="1" fillId="2" borderId="1" xfId="19" applyNumberFormat="1" applyFont="1" applyFill="1" applyBorder="1" applyAlignment="1">
      <alignment horizontal="right"/>
    </xf>
    <xf numFmtId="166" fontId="1" fillId="2" borderId="23" xfId="14" applyNumberFormat="1" applyFont="1" applyFill="1" applyBorder="1" applyAlignment="1">
      <alignment horizontal="right"/>
    </xf>
    <xf numFmtId="166" fontId="1" fillId="2" borderId="1" xfId="16" applyNumberFormat="1" applyFont="1" applyFill="1" applyBorder="1" applyAlignment="1">
      <alignment horizontal="right"/>
    </xf>
    <xf numFmtId="0" fontId="1" fillId="2" borderId="0" xfId="1" applyFont="1" applyFill="1" applyBorder="1" applyAlignment="1">
      <alignment wrapText="1"/>
    </xf>
    <xf numFmtId="0" fontId="1" fillId="2" borderId="1" xfId="1" applyFont="1" applyFill="1" applyBorder="1" applyAlignment="1">
      <alignment horizontal="center" vertical="top"/>
    </xf>
    <xf numFmtId="0" fontId="1" fillId="2" borderId="1" xfId="1" applyFont="1" applyFill="1" applyBorder="1" applyAlignment="1">
      <alignment vertical="top"/>
    </xf>
    <xf numFmtId="0" fontId="1" fillId="2" borderId="0" xfId="7" applyFont="1" applyFill="1" applyBorder="1"/>
    <xf numFmtId="0" fontId="1" fillId="2" borderId="0" xfId="7" applyFont="1" applyFill="1" applyAlignment="1">
      <alignment wrapText="1"/>
    </xf>
    <xf numFmtId="166" fontId="1" fillId="2" borderId="21" xfId="16" applyNumberFormat="1" applyFont="1" applyFill="1" applyBorder="1" applyAlignment="1">
      <alignment horizontal="right"/>
    </xf>
    <xf numFmtId="0" fontId="3" fillId="2" borderId="0" xfId="0" applyFont="1" applyFill="1" applyAlignment="1"/>
    <xf numFmtId="0" fontId="4" fillId="2" borderId="1" xfId="0" applyFont="1" applyFill="1" applyBorder="1" applyAlignment="1">
      <alignment vertical="top"/>
    </xf>
    <xf numFmtId="166" fontId="4" fillId="2" borderId="1" xfId="0" applyNumberFormat="1" applyFont="1" applyFill="1" applyBorder="1" applyAlignment="1">
      <alignment vertical="top"/>
    </xf>
    <xf numFmtId="0" fontId="1" fillId="2" borderId="1" xfId="1" applyFont="1" applyFill="1" applyBorder="1" applyAlignment="1">
      <alignment wrapText="1"/>
    </xf>
    <xf numFmtId="0" fontId="1" fillId="2" borderId="0" xfId="7" applyFont="1" applyFill="1"/>
    <xf numFmtId="166" fontId="1" fillId="2" borderId="19" xfId="16" applyNumberFormat="1" applyFont="1" applyFill="1" applyBorder="1" applyAlignment="1">
      <alignment horizontal="right"/>
    </xf>
    <xf numFmtId="0" fontId="1" fillId="2" borderId="1" xfId="0" applyFont="1" applyFill="1" applyBorder="1"/>
    <xf numFmtId="49" fontId="1" fillId="2" borderId="31" xfId="16" applyNumberFormat="1" applyFont="1" applyFill="1" applyBorder="1" applyAlignment="1">
      <alignment horizontal="center"/>
    </xf>
    <xf numFmtId="49" fontId="1" fillId="2" borderId="23" xfId="11" applyNumberFormat="1" applyFont="1" applyFill="1" applyBorder="1" applyAlignment="1">
      <alignment horizontal="center"/>
    </xf>
    <xf numFmtId="49" fontId="1" fillId="2" borderId="33" xfId="12" applyNumberFormat="1" applyFont="1" applyFill="1" applyBorder="1" applyAlignment="1">
      <alignment horizontal="center"/>
    </xf>
    <xf numFmtId="166" fontId="1" fillId="2" borderId="32" xfId="16" applyNumberFormat="1" applyFont="1" applyFill="1" applyBorder="1" applyAlignment="1">
      <alignment horizontal="right"/>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1" fillId="0" borderId="0" xfId="7" applyFont="1" applyFill="1" applyBorder="1" applyAlignment="1">
      <alignment horizontal="left"/>
    </xf>
    <xf numFmtId="0" fontId="1" fillId="0" borderId="0" xfId="7" applyFont="1" applyFill="1" applyAlignment="1">
      <alignment horizontal="left"/>
    </xf>
    <xf numFmtId="0" fontId="1" fillId="2" borderId="1" xfId="1" applyFont="1" applyFill="1" applyBorder="1" applyAlignment="1">
      <alignment horizontal="center"/>
    </xf>
    <xf numFmtId="0" fontId="3" fillId="2" borderId="0" xfId="3" applyFont="1" applyFill="1"/>
    <xf numFmtId="168" fontId="3" fillId="2" borderId="0" xfId="3" applyNumberFormat="1" applyFont="1" applyFill="1"/>
    <xf numFmtId="170" fontId="3" fillId="2" borderId="0" xfId="1" applyNumberFormat="1" applyFont="1" applyFill="1" applyAlignment="1">
      <alignment horizontal="right"/>
    </xf>
    <xf numFmtId="0" fontId="3" fillId="2" borderId="1" xfId="3" applyFont="1" applyFill="1" applyBorder="1"/>
    <xf numFmtId="0" fontId="4" fillId="2" borderId="1" xfId="3" applyFont="1" applyFill="1" applyBorder="1" applyAlignment="1"/>
    <xf numFmtId="166" fontId="4" fillId="2" borderId="1" xfId="10" applyNumberFormat="1" applyFont="1" applyFill="1" applyBorder="1" applyAlignment="1">
      <alignment horizontal="right" wrapText="1"/>
    </xf>
    <xf numFmtId="166" fontId="3" fillId="2" borderId="0" xfId="3" applyNumberFormat="1" applyFont="1" applyFill="1"/>
    <xf numFmtId="0" fontId="3" fillId="2" borderId="1" xfId="3" applyFont="1" applyFill="1" applyBorder="1" applyAlignment="1">
      <alignment horizontal="left"/>
    </xf>
    <xf numFmtId="49" fontId="4" fillId="2" borderId="1" xfId="3" applyNumberFormat="1" applyFont="1" applyFill="1" applyBorder="1" applyAlignment="1">
      <alignment horizontal="center" vertical="top"/>
    </xf>
    <xf numFmtId="0" fontId="4" fillId="2" borderId="1" xfId="3" applyFont="1" applyFill="1" applyBorder="1" applyAlignment="1">
      <alignment wrapText="1"/>
    </xf>
    <xf numFmtId="0" fontId="4" fillId="2" borderId="0" xfId="3" applyFont="1" applyFill="1"/>
    <xf numFmtId="0" fontId="4" fillId="2" borderId="1" xfId="3" applyFont="1" applyFill="1" applyBorder="1" applyAlignment="1">
      <alignment horizontal="center" vertical="top"/>
    </xf>
    <xf numFmtId="0" fontId="3" fillId="2" borderId="1" xfId="3" applyFont="1" applyFill="1" applyBorder="1" applyAlignment="1">
      <alignment horizontal="center" vertical="top"/>
    </xf>
    <xf numFmtId="0" fontId="3" fillId="2" borderId="1" xfId="3" applyFont="1" applyFill="1" applyBorder="1" applyAlignment="1"/>
    <xf numFmtId="166" fontId="4" fillId="2" borderId="1" xfId="3" applyNumberFormat="1" applyFont="1" applyFill="1" applyBorder="1" applyAlignment="1"/>
    <xf numFmtId="0" fontId="3" fillId="2" borderId="1" xfId="3" applyFont="1" applyFill="1" applyBorder="1" applyAlignment="1">
      <alignment vertical="top"/>
    </xf>
    <xf numFmtId="166" fontId="3" fillId="2" borderId="1" xfId="3" applyNumberFormat="1" applyFont="1" applyFill="1" applyBorder="1" applyAlignment="1"/>
    <xf numFmtId="0" fontId="22" fillId="2" borderId="1" xfId="3" applyFont="1" applyFill="1" applyBorder="1"/>
    <xf numFmtId="49" fontId="3" fillId="2" borderId="0" xfId="7" applyNumberFormat="1" applyFont="1" applyFill="1" applyBorder="1" applyAlignment="1">
      <alignment horizontal="center"/>
    </xf>
    <xf numFmtId="168" fontId="3" fillId="2" borderId="0" xfId="7" applyNumberFormat="1" applyFont="1" applyFill="1"/>
    <xf numFmtId="0" fontId="3" fillId="2" borderId="0" xfId="7" applyFont="1" applyFill="1"/>
    <xf numFmtId="0" fontId="3" fillId="2" borderId="1" xfId="3" applyFont="1" applyFill="1" applyBorder="1" applyAlignment="1">
      <alignment horizontal="center"/>
    </xf>
    <xf numFmtId="167" fontId="4" fillId="2" borderId="1" xfId="0" applyNumberFormat="1" applyFont="1" applyFill="1" applyBorder="1" applyAlignment="1">
      <alignment horizontal="right"/>
    </xf>
    <xf numFmtId="167" fontId="3"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167" fontId="1" fillId="2" borderId="1" xfId="1" applyNumberFormat="1" applyFont="1" applyFill="1" applyBorder="1" applyAlignment="1">
      <alignment horizontal="right"/>
    </xf>
    <xf numFmtId="167" fontId="3" fillId="2" borderId="1" xfId="0" applyNumberFormat="1" applyFont="1" applyFill="1" applyBorder="1" applyAlignment="1">
      <alignment horizontal="right" vertical="top"/>
    </xf>
    <xf numFmtId="167" fontId="1" fillId="2" borderId="1" xfId="0" applyNumberFormat="1" applyFont="1" applyFill="1" applyBorder="1" applyAlignment="1">
      <alignment horizontal="right" vertical="top"/>
    </xf>
    <xf numFmtId="0" fontId="11" fillId="2" borderId="0" xfId="7" applyFont="1" applyFill="1" applyAlignment="1">
      <alignment wrapText="1"/>
    </xf>
    <xf numFmtId="0" fontId="11" fillId="2" borderId="0" xfId="7" applyFont="1" applyFill="1" applyAlignment="1"/>
    <xf numFmtId="174" fontId="1" fillId="2" borderId="12" xfId="19" applyNumberFormat="1" applyFont="1" applyFill="1" applyBorder="1" applyAlignment="1">
      <alignment vertical="top"/>
    </xf>
    <xf numFmtId="174" fontId="3" fillId="2" borderId="12" xfId="0" applyNumberFormat="1" applyFont="1" applyFill="1" applyBorder="1"/>
    <xf numFmtId="174" fontId="3" fillId="2" borderId="12" xfId="0" applyNumberFormat="1" applyFont="1" applyFill="1" applyBorder="1" applyAlignment="1">
      <alignment vertical="top"/>
    </xf>
    <xf numFmtId="174" fontId="3" fillId="2" borderId="13" xfId="0" applyNumberFormat="1" applyFont="1" applyFill="1" applyBorder="1" applyAlignment="1">
      <alignment vertical="top"/>
    </xf>
    <xf numFmtId="0" fontId="4" fillId="2" borderId="6" xfId="3" applyFont="1" applyFill="1" applyBorder="1" applyAlignment="1">
      <alignment vertical="top" wrapText="1"/>
    </xf>
    <xf numFmtId="0" fontId="3" fillId="2" borderId="5" xfId="3" applyFont="1" applyFill="1" applyBorder="1" applyAlignment="1">
      <alignment horizontal="center" wrapText="1"/>
    </xf>
    <xf numFmtId="174" fontId="4" fillId="2" borderId="12" xfId="13" applyNumberFormat="1" applyFont="1" applyFill="1" applyBorder="1" applyAlignment="1">
      <alignment horizontal="right" vertical="center"/>
    </xf>
    <xf numFmtId="0" fontId="1" fillId="2" borderId="7" xfId="1" applyFont="1" applyFill="1" applyBorder="1" applyAlignment="1">
      <alignment vertical="top"/>
    </xf>
    <xf numFmtId="0" fontId="2" fillId="2" borderId="7" xfId="7" applyFont="1" applyFill="1" applyBorder="1" applyAlignment="1">
      <alignment vertical="top" wrapText="1"/>
    </xf>
    <xf numFmtId="167" fontId="2" fillId="2" borderId="7" xfId="10" applyNumberFormat="1" applyFont="1" applyFill="1" applyBorder="1" applyAlignment="1">
      <alignment vertical="top"/>
    </xf>
    <xf numFmtId="0" fontId="6" fillId="2" borderId="1" xfId="0" applyFont="1" applyFill="1" applyBorder="1" applyAlignment="1">
      <alignment vertical="top"/>
    </xf>
    <xf numFmtId="0" fontId="6" fillId="2" borderId="1" xfId="5" applyFont="1" applyFill="1" applyBorder="1" applyAlignment="1">
      <alignment vertical="top" wrapText="1"/>
    </xf>
    <xf numFmtId="49" fontId="1" fillId="2" borderId="1" xfId="11" applyNumberFormat="1" applyFont="1" applyFill="1" applyBorder="1" applyAlignment="1">
      <alignment horizontal="center" wrapText="1"/>
    </xf>
    <xf numFmtId="49" fontId="1" fillId="2" borderId="1" xfId="11" applyNumberFormat="1" applyFont="1" applyFill="1" applyBorder="1" applyAlignment="1">
      <alignment horizontal="center"/>
    </xf>
    <xf numFmtId="0" fontId="11" fillId="2" borderId="0" xfId="7" applyFont="1" applyFill="1" applyAlignment="1">
      <alignment horizontal="center"/>
    </xf>
    <xf numFmtId="166" fontId="11" fillId="2" borderId="0" xfId="7" applyNumberFormat="1" applyFont="1" applyFill="1"/>
    <xf numFmtId="0" fontId="11" fillId="2" borderId="0" xfId="7" applyFont="1" applyFill="1" applyBorder="1" applyAlignment="1">
      <alignment horizontal="center" vertical="top"/>
    </xf>
    <xf numFmtId="168" fontId="3" fillId="2" borderId="0" xfId="7" applyNumberFormat="1" applyFont="1" applyFill="1" applyBorder="1" applyAlignment="1">
      <alignment horizontal="right"/>
    </xf>
    <xf numFmtId="168" fontId="3" fillId="2" borderId="1" xfId="3" applyNumberFormat="1" applyFont="1" applyFill="1" applyBorder="1" applyAlignment="1">
      <alignment horizontal="center" vertical="center"/>
    </xf>
    <xf numFmtId="49" fontId="3" fillId="2" borderId="1" xfId="7" applyNumberFormat="1" applyFont="1" applyFill="1" applyBorder="1" applyAlignment="1">
      <alignment horizontal="center" vertical="top" wrapText="1"/>
    </xf>
    <xf numFmtId="0" fontId="3" fillId="2" borderId="1" xfId="7" applyFont="1" applyFill="1" applyBorder="1" applyAlignment="1">
      <alignment horizontal="center" vertical="top"/>
    </xf>
    <xf numFmtId="49" fontId="4" fillId="2" borderId="1" xfId="7" applyNumberFormat="1" applyFont="1" applyFill="1" applyBorder="1" applyAlignment="1">
      <alignment horizontal="left" vertical="top" wrapText="1"/>
    </xf>
    <xf numFmtId="49" fontId="3" fillId="2" borderId="9" xfId="7" applyNumberFormat="1" applyFont="1" applyFill="1" applyBorder="1" applyAlignment="1">
      <alignment horizontal="center" vertical="top"/>
    </xf>
    <xf numFmtId="49" fontId="3" fillId="2" borderId="1" xfId="7" applyNumberFormat="1" applyFont="1" applyFill="1" applyBorder="1" applyAlignment="1">
      <alignment horizontal="center" vertical="top"/>
    </xf>
    <xf numFmtId="166" fontId="4" fillId="2" borderId="1" xfId="7" applyNumberFormat="1" applyFont="1" applyFill="1" applyBorder="1" applyAlignment="1">
      <alignment horizontal="right" vertical="top"/>
    </xf>
    <xf numFmtId="172" fontId="23" fillId="2" borderId="0" xfId="7" applyNumberFormat="1" applyFont="1" applyFill="1"/>
    <xf numFmtId="0" fontId="4" fillId="2" borderId="1" xfId="5" applyFont="1" applyFill="1" applyBorder="1" applyAlignment="1">
      <alignment horizontal="center" vertical="top"/>
    </xf>
    <xf numFmtId="49" fontId="4" fillId="2" borderId="4" xfId="7" applyNumberFormat="1" applyFont="1" applyFill="1" applyBorder="1" applyAlignment="1">
      <alignment horizontal="center"/>
    </xf>
    <xf numFmtId="49" fontId="4" fillId="2" borderId="10" xfId="7" applyNumberFormat="1" applyFont="1" applyFill="1" applyBorder="1" applyAlignment="1">
      <alignment horizontal="center"/>
    </xf>
    <xf numFmtId="49" fontId="4" fillId="2" borderId="1" xfId="7" applyNumberFormat="1" applyFont="1" applyFill="1" applyBorder="1" applyAlignment="1">
      <alignment horizontal="center"/>
    </xf>
    <xf numFmtId="0" fontId="10" fillId="2" borderId="0" xfId="7" applyFont="1" applyFill="1"/>
    <xf numFmtId="49" fontId="3" fillId="2" borderId="17" xfId="11" applyNumberFormat="1" applyFont="1" applyFill="1" applyBorder="1" applyAlignment="1">
      <alignment horizontal="center"/>
    </xf>
    <xf numFmtId="49" fontId="3" fillId="2" borderId="18" xfId="16" applyNumberFormat="1" applyFont="1" applyFill="1" applyBorder="1" applyAlignment="1">
      <alignment horizontal="center"/>
    </xf>
    <xf numFmtId="49" fontId="3" fillId="2" borderId="19" xfId="16" applyNumberFormat="1" applyFont="1" applyFill="1" applyBorder="1" applyAlignment="1">
      <alignment horizontal="center" wrapText="1"/>
    </xf>
    <xf numFmtId="49" fontId="3" fillId="2" borderId="16" xfId="16" applyNumberFormat="1" applyFont="1" applyFill="1" applyBorder="1" applyAlignment="1">
      <alignment horizontal="center"/>
    </xf>
    <xf numFmtId="0" fontId="4" fillId="2" borderId="1" xfId="7" applyFont="1" applyFill="1" applyBorder="1" applyAlignment="1">
      <alignment horizontal="center" vertical="top"/>
    </xf>
    <xf numFmtId="49" fontId="4" fillId="2" borderId="9" xfId="7" applyNumberFormat="1" applyFont="1" applyFill="1" applyBorder="1" applyAlignment="1">
      <alignment horizontal="center"/>
    </xf>
    <xf numFmtId="49" fontId="4" fillId="2" borderId="3" xfId="7" applyNumberFormat="1" applyFont="1" applyFill="1" applyBorder="1" applyAlignment="1">
      <alignment horizontal="center"/>
    </xf>
    <xf numFmtId="49" fontId="3" fillId="2" borderId="2" xfId="6" applyNumberFormat="1" applyFont="1" applyFill="1" applyBorder="1" applyAlignment="1">
      <alignment horizontal="center"/>
    </xf>
    <xf numFmtId="49" fontId="3" fillId="2" borderId="9" xfId="6" applyNumberFormat="1" applyFont="1" applyFill="1" applyBorder="1" applyAlignment="1">
      <alignment horizontal="center"/>
    </xf>
    <xf numFmtId="49" fontId="3" fillId="2" borderId="3" xfId="6" applyNumberFormat="1" applyFont="1" applyFill="1" applyBorder="1" applyAlignment="1">
      <alignment horizontal="center"/>
    </xf>
    <xf numFmtId="49" fontId="3" fillId="2" borderId="1" xfId="6" applyNumberFormat="1" applyFont="1" applyFill="1" applyBorder="1" applyAlignment="1">
      <alignment horizontal="center"/>
    </xf>
    <xf numFmtId="49" fontId="3" fillId="2" borderId="4" xfId="7" applyNumberFormat="1" applyFont="1" applyFill="1" applyBorder="1" applyAlignment="1">
      <alignment horizontal="center"/>
    </xf>
    <xf numFmtId="49" fontId="3" fillId="2" borderId="11" xfId="7" applyNumberFormat="1" applyFont="1" applyFill="1" applyBorder="1" applyAlignment="1">
      <alignment horizontal="center"/>
    </xf>
    <xf numFmtId="49" fontId="3" fillId="2" borderId="10" xfId="7" applyNumberFormat="1" applyFont="1" applyFill="1" applyBorder="1" applyAlignment="1">
      <alignment horizontal="center"/>
    </xf>
    <xf numFmtId="0" fontId="3" fillId="2" borderId="1" xfId="5" applyFont="1" applyFill="1" applyBorder="1" applyAlignment="1">
      <alignment horizontal="center" vertical="top"/>
    </xf>
    <xf numFmtId="49" fontId="3" fillId="2" borderId="9" xfId="5" applyNumberFormat="1" applyFont="1" applyFill="1" applyBorder="1" applyAlignment="1">
      <alignment horizontal="center"/>
    </xf>
    <xf numFmtId="49" fontId="3" fillId="2" borderId="14"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2" borderId="10" xfId="0" applyNumberFormat="1" applyFont="1" applyFill="1" applyBorder="1" applyAlignment="1">
      <alignment horizontal="center"/>
    </xf>
    <xf numFmtId="49" fontId="4" fillId="2" borderId="9" xfId="6" applyNumberFormat="1" applyFont="1" applyFill="1" applyBorder="1" applyAlignment="1">
      <alignment horizontal="center"/>
    </xf>
    <xf numFmtId="168" fontId="4" fillId="2" borderId="1" xfId="7" applyNumberFormat="1" applyFont="1" applyFill="1" applyBorder="1" applyAlignment="1">
      <alignment horizontal="center"/>
    </xf>
    <xf numFmtId="49" fontId="3" fillId="2" borderId="25" xfId="11" applyNumberFormat="1" applyFont="1" applyFill="1" applyBorder="1" applyAlignment="1">
      <alignment horizontal="center"/>
    </xf>
    <xf numFmtId="49" fontId="3" fillId="2" borderId="20" xfId="16" applyNumberFormat="1" applyFont="1" applyFill="1" applyBorder="1" applyAlignment="1">
      <alignment horizontal="center"/>
    </xf>
    <xf numFmtId="49" fontId="3" fillId="2" borderId="26" xfId="16" applyNumberFormat="1" applyFont="1" applyFill="1" applyBorder="1" applyAlignment="1">
      <alignment horizontal="center"/>
    </xf>
    <xf numFmtId="49" fontId="3" fillId="2" borderId="19" xfId="16" applyNumberFormat="1" applyFont="1" applyFill="1" applyBorder="1" applyAlignment="1">
      <alignment horizontal="center"/>
    </xf>
    <xf numFmtId="49" fontId="3" fillId="2" borderId="3" xfId="5" applyNumberFormat="1" applyFont="1" applyFill="1" applyBorder="1" applyAlignment="1">
      <alignment horizontal="center"/>
    </xf>
    <xf numFmtId="49" fontId="3" fillId="2" borderId="1" xfId="5" applyNumberFormat="1" applyFont="1" applyFill="1" applyBorder="1" applyAlignment="1">
      <alignment horizontal="center"/>
    </xf>
    <xf numFmtId="49" fontId="3" fillId="2" borderId="6" xfId="6" applyNumberFormat="1" applyFont="1" applyFill="1" applyBorder="1" applyAlignment="1">
      <alignment horizontal="center"/>
    </xf>
    <xf numFmtId="49" fontId="3" fillId="2" borderId="7" xfId="5" applyNumberFormat="1" applyFont="1" applyFill="1" applyBorder="1" applyAlignment="1">
      <alignment horizontal="center"/>
    </xf>
    <xf numFmtId="49" fontId="3" fillId="2" borderId="8" xfId="5" applyNumberFormat="1" applyFont="1" applyFill="1" applyBorder="1" applyAlignment="1">
      <alignment horizontal="center"/>
    </xf>
    <xf numFmtId="49" fontId="3" fillId="2" borderId="17" xfId="6" applyNumberFormat="1" applyFont="1" applyFill="1" applyBorder="1" applyAlignment="1">
      <alignment horizontal="center"/>
    </xf>
    <xf numFmtId="49" fontId="3" fillId="2" borderId="0" xfId="16" applyNumberFormat="1" applyFont="1" applyFill="1" applyBorder="1" applyAlignment="1">
      <alignment horizontal="center"/>
    </xf>
    <xf numFmtId="49" fontId="3" fillId="2" borderId="18" xfId="14" applyNumberFormat="1" applyFont="1" applyFill="1" applyBorder="1" applyAlignment="1">
      <alignment horizontal="center"/>
    </xf>
    <xf numFmtId="49" fontId="3" fillId="2" borderId="19" xfId="14" applyNumberFormat="1" applyFont="1" applyFill="1" applyBorder="1" applyAlignment="1">
      <alignment horizontal="center"/>
    </xf>
    <xf numFmtId="49" fontId="3" fillId="2" borderId="21" xfId="14" applyNumberFormat="1" applyFont="1" applyFill="1" applyBorder="1" applyAlignment="1">
      <alignment horizontal="center"/>
    </xf>
    <xf numFmtId="49" fontId="3" fillId="2" borderId="18" xfId="6" applyNumberFormat="1" applyFont="1" applyFill="1" applyBorder="1" applyAlignment="1">
      <alignment horizontal="center"/>
    </xf>
    <xf numFmtId="49" fontId="3" fillId="2" borderId="16" xfId="14" applyNumberFormat="1" applyFont="1" applyFill="1" applyBorder="1" applyAlignment="1">
      <alignment horizontal="center"/>
    </xf>
    <xf numFmtId="49" fontId="3" fillId="2" borderId="20" xfId="14" applyNumberFormat="1" applyFont="1" applyFill="1" applyBorder="1" applyAlignment="1">
      <alignment horizontal="center"/>
    </xf>
    <xf numFmtId="49" fontId="3" fillId="2" borderId="26" xfId="14" applyNumberFormat="1" applyFont="1" applyFill="1" applyBorder="1" applyAlignment="1">
      <alignment horizontal="center"/>
    </xf>
    <xf numFmtId="49" fontId="3" fillId="2" borderId="23" xfId="14" applyNumberFormat="1" applyFont="1" applyFill="1" applyBorder="1" applyAlignment="1">
      <alignment horizontal="center"/>
    </xf>
    <xf numFmtId="49" fontId="3" fillId="2" borderId="20" xfId="6" applyNumberFormat="1" applyFont="1" applyFill="1" applyBorder="1" applyAlignment="1">
      <alignment horizontal="center"/>
    </xf>
    <xf numFmtId="49" fontId="3" fillId="2" borderId="2" xfId="11" applyNumberFormat="1" applyFont="1" applyFill="1" applyBorder="1" applyAlignment="1">
      <alignment horizontal="center"/>
    </xf>
    <xf numFmtId="49" fontId="3" fillId="2" borderId="3" xfId="5" applyNumberFormat="1" applyFont="1" applyFill="1" applyBorder="1" applyAlignment="1">
      <alignment horizontal="center" wrapText="1"/>
    </xf>
    <xf numFmtId="49" fontId="3" fillId="2" borderId="17" xfId="5" applyNumberFormat="1" applyFont="1" applyFill="1" applyBorder="1" applyAlignment="1">
      <alignment horizontal="center"/>
    </xf>
    <xf numFmtId="49" fontId="3" fillId="2" borderId="18" xfId="5" applyNumberFormat="1" applyFont="1" applyFill="1" applyBorder="1" applyAlignment="1">
      <alignment horizontal="center"/>
    </xf>
    <xf numFmtId="49" fontId="3" fillId="2" borderId="19" xfId="5" applyNumberFormat="1" applyFont="1" applyFill="1" applyBorder="1" applyAlignment="1">
      <alignment horizontal="center"/>
    </xf>
    <xf numFmtId="49" fontId="3" fillId="2" borderId="16" xfId="5" applyNumberFormat="1" applyFont="1" applyFill="1" applyBorder="1" applyAlignment="1">
      <alignment horizontal="center"/>
    </xf>
    <xf numFmtId="49" fontId="4" fillId="2" borderId="1" xfId="6"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9" xfId="0" applyNumberFormat="1" applyFont="1" applyFill="1" applyBorder="1" applyAlignment="1">
      <alignment horizontal="center"/>
    </xf>
    <xf numFmtId="49" fontId="4" fillId="2" borderId="3" xfId="0" applyNumberFormat="1" applyFont="1" applyFill="1" applyBorder="1" applyAlignment="1">
      <alignment horizontal="center"/>
    </xf>
    <xf numFmtId="166" fontId="3" fillId="2" borderId="1" xfId="7" applyNumberFormat="1" applyFont="1" applyFill="1" applyBorder="1"/>
    <xf numFmtId="49" fontId="3" fillId="2" borderId="0" xfId="0" applyNumberFormat="1" applyFont="1" applyFill="1" applyBorder="1" applyAlignment="1">
      <alignment horizontal="left" vertical="top" wrapText="1"/>
    </xf>
    <xf numFmtId="166" fontId="3" fillId="2" borderId="0" xfId="7" applyNumberFormat="1" applyFont="1" applyFill="1" applyBorder="1"/>
    <xf numFmtId="166" fontId="11" fillId="2" borderId="0" xfId="7" applyNumberFormat="1" applyFont="1" applyFill="1" applyAlignment="1">
      <alignment horizontal="center"/>
    </xf>
    <xf numFmtId="49" fontId="11" fillId="2" borderId="0" xfId="7" applyNumberFormat="1" applyFont="1" applyFill="1" applyAlignment="1">
      <alignment vertical="top" wrapText="1"/>
    </xf>
    <xf numFmtId="49" fontId="11" fillId="2" borderId="0" xfId="7" applyNumberFormat="1" applyFont="1" applyFill="1" applyAlignment="1">
      <alignment horizontal="center"/>
    </xf>
    <xf numFmtId="49" fontId="1" fillId="2" borderId="3" xfId="7" applyNumberFormat="1" applyFont="1" applyFill="1" applyBorder="1" applyAlignment="1">
      <alignment horizontal="center"/>
    </xf>
    <xf numFmtId="166" fontId="3" fillId="2" borderId="4" xfId="7" applyNumberFormat="1" applyFont="1" applyFill="1" applyBorder="1" applyAlignment="1">
      <alignment horizontal="right"/>
    </xf>
    <xf numFmtId="166" fontId="3" fillId="2" borderId="1" xfId="7" applyNumberFormat="1" applyFont="1" applyFill="1" applyBorder="1" applyAlignment="1">
      <alignment horizontal="center" vertical="center"/>
    </xf>
    <xf numFmtId="0" fontId="11" fillId="2" borderId="1" xfId="7" applyFont="1" applyFill="1" applyBorder="1" applyAlignment="1">
      <alignment horizontal="center" vertical="top"/>
    </xf>
    <xf numFmtId="166" fontId="3" fillId="2" borderId="1" xfId="7" applyNumberFormat="1" applyFont="1" applyFill="1" applyBorder="1" applyAlignment="1"/>
    <xf numFmtId="49" fontId="3" fillId="2" borderId="6" xfId="11" applyNumberFormat="1" applyFont="1" applyFill="1" applyBorder="1" applyAlignment="1">
      <alignment horizontal="center"/>
    </xf>
    <xf numFmtId="49" fontId="3" fillId="2" borderId="30" xfId="6" applyNumberFormat="1" applyFont="1" applyFill="1" applyBorder="1" applyAlignment="1">
      <alignment horizontal="center"/>
    </xf>
    <xf numFmtId="49" fontId="3" fillId="2" borderId="33" xfId="14" applyNumberFormat="1" applyFont="1" applyFill="1" applyBorder="1" applyAlignment="1">
      <alignment horizontal="center"/>
    </xf>
    <xf numFmtId="49" fontId="3" fillId="2" borderId="22" xfId="14" applyNumberFormat="1" applyFont="1" applyFill="1" applyBorder="1" applyAlignment="1">
      <alignment horizontal="center"/>
    </xf>
    <xf numFmtId="166" fontId="3" fillId="2" borderId="13" xfId="7" applyNumberFormat="1" applyFont="1" applyFill="1" applyBorder="1" applyAlignment="1">
      <alignment horizontal="right"/>
    </xf>
    <xf numFmtId="49" fontId="3" fillId="2" borderId="24" xfId="6" applyNumberFormat="1" applyFont="1" applyFill="1" applyBorder="1" applyAlignment="1">
      <alignment horizontal="center"/>
    </xf>
    <xf numFmtId="49" fontId="3" fillId="2" borderId="9" xfId="14" applyNumberFormat="1" applyFont="1" applyFill="1" applyBorder="1" applyAlignment="1">
      <alignment horizontal="center"/>
    </xf>
    <xf numFmtId="49" fontId="3" fillId="2" borderId="3" xfId="14" applyNumberFormat="1" applyFont="1" applyFill="1" applyBorder="1" applyAlignment="1">
      <alignment horizontal="center"/>
    </xf>
    <xf numFmtId="49" fontId="3" fillId="2" borderId="1" xfId="14" applyNumberFormat="1" applyFont="1" applyFill="1" applyBorder="1" applyAlignment="1">
      <alignment horizontal="center"/>
    </xf>
    <xf numFmtId="49" fontId="3" fillId="2" borderId="7" xfId="14" applyNumberFormat="1" applyFont="1" applyFill="1" applyBorder="1" applyAlignment="1">
      <alignment horizontal="center"/>
    </xf>
    <xf numFmtId="49" fontId="3" fillId="2" borderId="8" xfId="14" applyNumberFormat="1" applyFont="1" applyFill="1" applyBorder="1" applyAlignment="1">
      <alignment horizontal="center"/>
    </xf>
    <xf numFmtId="49" fontId="3" fillId="2" borderId="34" xfId="11" applyNumberFormat="1" applyFont="1" applyFill="1" applyBorder="1" applyAlignment="1">
      <alignment horizontal="center"/>
    </xf>
    <xf numFmtId="49" fontId="3" fillId="2" borderId="35" xfId="16" applyNumberFormat="1" applyFont="1" applyFill="1" applyBorder="1" applyAlignment="1">
      <alignment horizontal="center"/>
    </xf>
    <xf numFmtId="49" fontId="3" fillId="2" borderId="36" xfId="16" applyNumberFormat="1" applyFont="1" applyFill="1" applyBorder="1" applyAlignment="1">
      <alignment horizontal="center" wrapText="1"/>
    </xf>
    <xf numFmtId="49" fontId="3" fillId="2" borderId="21" xfId="16" applyNumberFormat="1" applyFont="1" applyFill="1" applyBorder="1" applyAlignment="1">
      <alignment horizontal="center"/>
    </xf>
    <xf numFmtId="0" fontId="4" fillId="2" borderId="5" xfId="7" applyFont="1" applyFill="1" applyBorder="1" applyAlignment="1">
      <alignment horizontal="center" vertical="top"/>
    </xf>
    <xf numFmtId="49" fontId="3" fillId="2" borderId="23" xfId="16" applyNumberFormat="1" applyFont="1" applyFill="1" applyBorder="1" applyAlignment="1">
      <alignment horizontal="center"/>
    </xf>
    <xf numFmtId="166" fontId="3" fillId="2" borderId="5" xfId="7" applyNumberFormat="1" applyFont="1" applyFill="1" applyBorder="1" applyAlignment="1">
      <alignment horizontal="right"/>
    </xf>
    <xf numFmtId="49" fontId="3" fillId="2" borderId="1" xfId="16" applyNumberFormat="1" applyFont="1" applyFill="1" applyBorder="1" applyAlignment="1">
      <alignment horizontal="center"/>
    </xf>
    <xf numFmtId="0" fontId="3" fillId="2" borderId="0" xfId="7" applyFont="1" applyFill="1" applyBorder="1" applyAlignment="1">
      <alignment horizontal="center" vertical="top"/>
    </xf>
    <xf numFmtId="49" fontId="3" fillId="2" borderId="0" xfId="0" applyNumberFormat="1" applyFont="1" applyFill="1" applyBorder="1" applyAlignment="1">
      <alignment wrapText="1"/>
    </xf>
    <xf numFmtId="166" fontId="3" fillId="2" borderId="0" xfId="7" applyNumberFormat="1" applyFont="1" applyFill="1" applyBorder="1" applyAlignment="1">
      <alignment horizontal="right"/>
    </xf>
    <xf numFmtId="166" fontId="1" fillId="2" borderId="1" xfId="14" applyNumberFormat="1" applyFont="1" applyFill="1" applyBorder="1" applyAlignment="1">
      <alignment horizontal="right"/>
    </xf>
    <xf numFmtId="166" fontId="3" fillId="2" borderId="1" xfId="5" applyNumberFormat="1" applyFont="1" applyFill="1" applyBorder="1" applyAlignment="1">
      <alignment horizontal="right" wrapText="1"/>
    </xf>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2" borderId="8" xfId="0" applyNumberFormat="1" applyFont="1" applyFill="1" applyBorder="1" applyAlignment="1">
      <alignment horizontal="center"/>
    </xf>
    <xf numFmtId="49" fontId="1" fillId="2" borderId="6" xfId="0" applyNumberFormat="1" applyFont="1" applyFill="1" applyBorder="1" applyAlignment="1">
      <alignment horizontal="center"/>
    </xf>
    <xf numFmtId="49" fontId="1" fillId="2" borderId="7" xfId="0" applyNumberFormat="1" applyFont="1" applyFill="1" applyBorder="1" applyAlignment="1">
      <alignment horizontal="center"/>
    </xf>
    <xf numFmtId="49" fontId="1" fillId="2" borderId="8" xfId="0" applyNumberFormat="1" applyFont="1" applyFill="1" applyBorder="1" applyAlignment="1">
      <alignment horizontal="center"/>
    </xf>
    <xf numFmtId="171" fontId="23" fillId="2" borderId="0" xfId="7" applyNumberFormat="1" applyFont="1" applyFill="1"/>
    <xf numFmtId="166" fontId="1" fillId="2" borderId="37" xfId="16" applyNumberFormat="1" applyFont="1" applyFill="1" applyBorder="1" applyAlignment="1">
      <alignment horizontal="right"/>
    </xf>
    <xf numFmtId="49" fontId="1" fillId="2" borderId="17" xfId="14" applyNumberFormat="1" applyFont="1" applyFill="1" applyBorder="1" applyAlignment="1">
      <alignment horizontal="center"/>
    </xf>
    <xf numFmtId="0" fontId="4" fillId="2" borderId="0" xfId="0" applyFont="1" applyFill="1" applyAlignment="1">
      <alignment horizontal="center"/>
    </xf>
    <xf numFmtId="166" fontId="1" fillId="2" borderId="26" xfId="16" applyNumberFormat="1" applyFont="1" applyFill="1" applyBorder="1" applyAlignment="1">
      <alignment horizontal="right"/>
    </xf>
    <xf numFmtId="166" fontId="1" fillId="2" borderId="22" xfId="16" applyNumberFormat="1" applyFont="1" applyFill="1" applyBorder="1" applyAlignment="1">
      <alignment horizontal="right"/>
    </xf>
    <xf numFmtId="0" fontId="22" fillId="2" borderId="0" xfId="3" applyFont="1" applyFill="1"/>
    <xf numFmtId="0" fontId="1" fillId="2" borderId="0" xfId="7" applyFont="1" applyFill="1" applyBorder="1" applyAlignment="1">
      <alignment horizontal="left"/>
    </xf>
    <xf numFmtId="173" fontId="1" fillId="2" borderId="0" xfId="3" applyNumberFormat="1" applyFont="1" applyFill="1"/>
    <xf numFmtId="10" fontId="1" fillId="2" borderId="0" xfId="3" applyNumberFormat="1" applyFont="1" applyFill="1"/>
    <xf numFmtId="171" fontId="2" fillId="2" borderId="0" xfId="3" applyNumberFormat="1" applyFont="1" applyFill="1"/>
    <xf numFmtId="173" fontId="2" fillId="2" borderId="0" xfId="3" applyNumberFormat="1" applyFont="1" applyFill="1"/>
    <xf numFmtId="168" fontId="2" fillId="2" borderId="0" xfId="3" applyNumberFormat="1" applyFont="1" applyFill="1" applyAlignment="1">
      <alignment shrinkToFit="1"/>
    </xf>
    <xf numFmtId="0" fontId="2" fillId="2" borderId="0" xfId="3" applyFont="1" applyFill="1"/>
    <xf numFmtId="168" fontId="1" fillId="2" borderId="0" xfId="7" applyNumberFormat="1" applyFont="1" applyFill="1"/>
    <xf numFmtId="171" fontId="10" fillId="2" borderId="0" xfId="7" applyNumberFormat="1" applyFont="1" applyFill="1"/>
    <xf numFmtId="49" fontId="1" fillId="2" borderId="32" xfId="11" applyNumberFormat="1" applyFont="1" applyFill="1" applyBorder="1" applyAlignment="1">
      <alignment horizontal="center" wrapText="1"/>
    </xf>
    <xf numFmtId="0" fontId="1" fillId="2" borderId="27" xfId="14" applyFont="1" applyFill="1" applyBorder="1" applyAlignment="1">
      <alignment horizontal="center" vertical="top"/>
    </xf>
    <xf numFmtId="49" fontId="1" fillId="2" borderId="21" xfId="11" applyNumberFormat="1" applyFont="1" applyFill="1" applyBorder="1" applyAlignment="1">
      <alignment horizontal="center"/>
    </xf>
    <xf numFmtId="49" fontId="1" fillId="2" borderId="30" xfId="6" applyNumberFormat="1" applyFont="1" applyFill="1" applyBorder="1" applyAlignment="1">
      <alignment horizontal="center"/>
    </xf>
    <xf numFmtId="49" fontId="1" fillId="2" borderId="33" xfId="14" applyNumberFormat="1" applyFont="1" applyFill="1" applyBorder="1" applyAlignment="1">
      <alignment horizontal="center"/>
    </xf>
    <xf numFmtId="49" fontId="1" fillId="2" borderId="22" xfId="14" applyNumberFormat="1" applyFont="1" applyFill="1" applyBorder="1" applyAlignment="1">
      <alignment horizontal="center"/>
    </xf>
    <xf numFmtId="49" fontId="1" fillId="2" borderId="30" xfId="14" applyNumberFormat="1" applyFont="1" applyFill="1" applyBorder="1" applyAlignment="1">
      <alignment horizontal="center"/>
    </xf>
    <xf numFmtId="166" fontId="1" fillId="2" borderId="13" xfId="0" applyNumberFormat="1" applyFont="1" applyFill="1" applyBorder="1" applyAlignment="1">
      <alignment horizontal="right"/>
    </xf>
    <xf numFmtId="0" fontId="1" fillId="2" borderId="32" xfId="14" applyFont="1" applyFill="1" applyBorder="1" applyAlignment="1">
      <alignment horizontal="center" vertical="top"/>
    </xf>
    <xf numFmtId="49" fontId="1" fillId="2" borderId="32" xfId="11" applyNumberFormat="1" applyFont="1" applyFill="1" applyBorder="1" applyAlignment="1">
      <alignment horizontal="center"/>
    </xf>
    <xf numFmtId="49" fontId="1" fillId="2" borderId="39" xfId="6" applyNumberFormat="1" applyFont="1" applyFill="1" applyBorder="1" applyAlignment="1">
      <alignment horizontal="center"/>
    </xf>
    <xf numFmtId="49" fontId="1" fillId="2" borderId="38" xfId="14" applyNumberFormat="1" applyFont="1" applyFill="1" applyBorder="1" applyAlignment="1">
      <alignment horizontal="center"/>
    </xf>
    <xf numFmtId="49" fontId="1" fillId="2" borderId="31" xfId="14" applyNumberFormat="1" applyFont="1" applyFill="1" applyBorder="1" applyAlignment="1">
      <alignment horizontal="center"/>
    </xf>
    <xf numFmtId="49" fontId="1" fillId="2" borderId="39" xfId="14" applyNumberFormat="1" applyFont="1" applyFill="1" applyBorder="1" applyAlignment="1">
      <alignment horizontal="center"/>
    </xf>
    <xf numFmtId="0" fontId="4" fillId="2" borderId="0" xfId="0" applyFont="1" applyFill="1" applyAlignment="1">
      <alignment horizontal="center" wrapText="1"/>
    </xf>
    <xf numFmtId="166" fontId="3" fillId="2" borderId="0" xfId="0" applyNumberFormat="1" applyFont="1" applyFill="1" applyBorder="1" applyAlignment="1">
      <alignment horizontal="right"/>
    </xf>
    <xf numFmtId="166" fontId="8" fillId="2" borderId="0" xfId="7" applyNumberFormat="1" applyFont="1" applyFill="1"/>
    <xf numFmtId="166" fontId="20" fillId="2" borderId="1" xfId="0" applyNumberFormat="1" applyFont="1" applyFill="1" applyBorder="1"/>
    <xf numFmtId="166" fontId="19" fillId="2" borderId="0" xfId="0" applyNumberFormat="1" applyFont="1" applyFill="1" applyBorder="1"/>
    <xf numFmtId="166" fontId="3" fillId="2" borderId="0" xfId="0" applyNumberFormat="1" applyFont="1" applyFill="1" applyBorder="1"/>
    <xf numFmtId="166" fontId="16" fillId="2" borderId="0" xfId="0" applyNumberFormat="1" applyFont="1" applyFill="1" applyBorder="1"/>
    <xf numFmtId="0" fontId="4" fillId="2" borderId="15" xfId="3" applyFont="1" applyFill="1" applyBorder="1" applyAlignment="1">
      <alignment wrapText="1"/>
    </xf>
    <xf numFmtId="0" fontId="3" fillId="2" borderId="15" xfId="3" applyFont="1" applyFill="1" applyBorder="1" applyAlignment="1">
      <alignment wrapText="1"/>
    </xf>
    <xf numFmtId="0" fontId="3" fillId="2" borderId="15" xfId="3" applyFont="1" applyFill="1" applyBorder="1" applyAlignment="1">
      <alignment vertical="top" wrapText="1"/>
    </xf>
    <xf numFmtId="0" fontId="3" fillId="2" borderId="14" xfId="3" applyFont="1" applyFill="1" applyBorder="1" applyAlignment="1">
      <alignment vertical="top" wrapText="1"/>
    </xf>
    <xf numFmtId="49" fontId="1" fillId="2" borderId="26" xfId="16" applyNumberFormat="1" applyFont="1" applyFill="1" applyBorder="1" applyAlignment="1">
      <alignment horizontal="center" wrapText="1"/>
    </xf>
    <xf numFmtId="49" fontId="1" fillId="2" borderId="23" xfId="16" applyNumberFormat="1" applyFont="1" applyFill="1" applyBorder="1" applyAlignment="1">
      <alignment horizontal="center"/>
    </xf>
    <xf numFmtId="49" fontId="3" fillId="2" borderId="16" xfId="11" applyNumberFormat="1" applyFont="1" applyFill="1" applyBorder="1" applyAlignment="1">
      <alignment horizontal="center" wrapText="1"/>
    </xf>
    <xf numFmtId="49" fontId="3" fillId="2" borderId="16" xfId="11" applyNumberFormat="1" applyFont="1" applyFill="1" applyBorder="1" applyAlignment="1">
      <alignment horizontal="center"/>
    </xf>
    <xf numFmtId="49" fontId="3" fillId="2" borderId="20" xfId="16" applyNumberFormat="1" applyFont="1" applyFill="1" applyBorder="1" applyAlignment="1">
      <alignment horizontal="center" wrapText="1"/>
    </xf>
    <xf numFmtId="0" fontId="2" fillId="2" borderId="21" xfId="16" applyFont="1" applyFill="1" applyBorder="1" applyAlignment="1">
      <alignment horizontal="center" vertical="top"/>
    </xf>
    <xf numFmtId="49" fontId="2" fillId="2" borderId="21" xfId="16" applyNumberFormat="1" applyFont="1" applyFill="1" applyBorder="1" applyAlignment="1">
      <alignment horizontal="center" wrapText="1"/>
    </xf>
    <xf numFmtId="49" fontId="1" fillId="2" borderId="1" xfId="12" applyNumberFormat="1" applyFont="1" applyFill="1" applyBorder="1" applyAlignment="1">
      <alignment horizontal="center" wrapText="1"/>
    </xf>
    <xf numFmtId="49" fontId="2" fillId="2" borderId="21" xfId="16" applyNumberFormat="1" applyFont="1" applyFill="1" applyBorder="1" applyAlignment="1">
      <alignment horizontal="center"/>
    </xf>
    <xf numFmtId="166" fontId="2" fillId="2" borderId="21" xfId="16" applyNumberFormat="1" applyFont="1" applyFill="1" applyBorder="1" applyAlignment="1">
      <alignment horizontal="right"/>
    </xf>
    <xf numFmtId="49" fontId="1" fillId="2" borderId="13" xfId="12" applyNumberFormat="1" applyFont="1" applyFill="1" applyBorder="1" applyAlignment="1">
      <alignment horizontal="center"/>
    </xf>
    <xf numFmtId="49" fontId="1" fillId="2" borderId="13" xfId="0" applyNumberFormat="1" applyFont="1" applyFill="1" applyBorder="1" applyAlignment="1">
      <alignment horizontal="center"/>
    </xf>
    <xf numFmtId="49" fontId="3" fillId="2" borderId="16" xfId="5" applyNumberFormat="1" applyFont="1" applyFill="1" applyBorder="1" applyAlignment="1">
      <alignment horizontal="center" wrapText="1"/>
    </xf>
    <xf numFmtId="49" fontId="3" fillId="2" borderId="17" xfId="14" applyNumberFormat="1" applyFont="1" applyFill="1" applyBorder="1" applyAlignment="1">
      <alignment horizontal="center"/>
    </xf>
    <xf numFmtId="166" fontId="3" fillId="2" borderId="1" xfId="0" applyNumberFormat="1" applyFont="1" applyFill="1" applyBorder="1" applyAlignment="1"/>
    <xf numFmtId="0" fontId="16" fillId="2" borderId="0" xfId="0" applyFont="1" applyFill="1" applyAlignment="1">
      <alignment vertical="top"/>
    </xf>
    <xf numFmtId="1" fontId="2" fillId="2" borderId="0" xfId="2" applyNumberFormat="1" applyFont="1" applyFill="1" applyAlignment="1">
      <alignment horizontal="center" vertical="top" wrapText="1"/>
    </xf>
    <xf numFmtId="49" fontId="1" fillId="2" borderId="0" xfId="0" applyNumberFormat="1" applyFont="1" applyFill="1" applyBorder="1" applyAlignment="1">
      <alignment vertical="top" wrapText="1"/>
    </xf>
    <xf numFmtId="0" fontId="3" fillId="2" borderId="1" xfId="0" applyFont="1" applyFill="1" applyBorder="1" applyAlignment="1">
      <alignment vertical="center" wrapText="1"/>
    </xf>
    <xf numFmtId="49" fontId="4" fillId="2" borderId="1" xfId="7"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19" xfId="11" applyNumberFormat="1" applyFont="1" applyFill="1" applyBorder="1" applyAlignment="1">
      <alignment vertical="center" wrapText="1"/>
    </xf>
    <xf numFmtId="49" fontId="3" fillId="2" borderId="1" xfId="5" applyNumberFormat="1" applyFont="1" applyFill="1" applyBorder="1" applyAlignment="1">
      <alignment horizontal="left" vertical="center" wrapText="1"/>
    </xf>
    <xf numFmtId="49" fontId="1" fillId="2" borderId="3" xfId="0" applyNumberFormat="1" applyFont="1" applyFill="1" applyBorder="1" applyAlignment="1">
      <alignment vertical="center" wrapText="1"/>
    </xf>
    <xf numFmtId="2" fontId="3" fillId="2" borderId="3" xfId="0" applyNumberFormat="1" applyFont="1" applyFill="1" applyBorder="1" applyAlignment="1">
      <alignment vertical="center" wrapText="1"/>
    </xf>
    <xf numFmtId="49" fontId="3" fillId="2" borderId="3" xfId="7" applyNumberFormat="1" applyFont="1" applyFill="1" applyBorder="1" applyAlignment="1">
      <alignment vertical="center" wrapText="1"/>
    </xf>
    <xf numFmtId="49" fontId="3" fillId="2" borderId="1" xfId="7" applyNumberFormat="1" applyFont="1" applyFill="1" applyBorder="1" applyAlignment="1">
      <alignment vertical="center" wrapText="1"/>
    </xf>
    <xf numFmtId="49" fontId="3" fillId="2" borderId="1" xfId="0" applyNumberFormat="1" applyFont="1" applyFill="1" applyBorder="1" applyAlignment="1">
      <alignment horizontal="left" vertical="center" wrapText="1"/>
    </xf>
    <xf numFmtId="49" fontId="3" fillId="2" borderId="3" xfId="5" applyNumberFormat="1" applyFont="1" applyFill="1" applyBorder="1" applyAlignment="1">
      <alignment horizontal="left" vertical="center" wrapText="1"/>
    </xf>
    <xf numFmtId="49" fontId="1" fillId="2" borderId="26" xfId="16" applyNumberFormat="1" applyFont="1" applyFill="1" applyBorder="1" applyAlignment="1">
      <alignment vertical="center" wrapText="1"/>
    </xf>
    <xf numFmtId="49" fontId="1" fillId="2" borderId="3" xfId="5" applyNumberFormat="1" applyFont="1" applyFill="1" applyBorder="1" applyAlignment="1">
      <alignment horizontal="left" vertical="center" wrapText="1"/>
    </xf>
    <xf numFmtId="49" fontId="4" fillId="2" borderId="1" xfId="7" applyNumberFormat="1" applyFont="1" applyFill="1" applyBorder="1" applyAlignment="1">
      <alignment vertical="center" wrapText="1"/>
    </xf>
    <xf numFmtId="49" fontId="3" fillId="3" borderId="3" xfId="0" applyNumberFormat="1" applyFont="1" applyFill="1" applyBorder="1" applyAlignment="1">
      <alignment vertical="center" wrapText="1"/>
    </xf>
    <xf numFmtId="49" fontId="3" fillId="3" borderId="3" xfId="0" applyNumberFormat="1" applyFont="1" applyFill="1" applyBorder="1" applyAlignment="1">
      <alignment horizontal="left" vertical="center" wrapText="1"/>
    </xf>
    <xf numFmtId="49" fontId="3" fillId="2" borderId="1" xfId="6" applyNumberFormat="1" applyFont="1" applyFill="1" applyBorder="1" applyAlignment="1">
      <alignment horizontal="left" vertical="center" wrapText="1"/>
    </xf>
    <xf numFmtId="49" fontId="3" fillId="2" borderId="1" xfId="4" applyNumberFormat="1" applyFont="1" applyFill="1" applyBorder="1" applyAlignment="1" applyProtection="1">
      <alignment horizontal="left" vertical="center" wrapText="1"/>
      <protection hidden="1"/>
    </xf>
    <xf numFmtId="49" fontId="3" fillId="2" borderId="3" xfId="6" applyNumberFormat="1" applyFont="1" applyFill="1" applyBorder="1" applyAlignment="1">
      <alignment horizontal="left" vertical="center" wrapText="1"/>
    </xf>
    <xf numFmtId="49" fontId="1" fillId="2" borderId="29" xfId="14" applyNumberFormat="1" applyFont="1" applyFill="1" applyBorder="1" applyAlignment="1">
      <alignment vertical="center" wrapText="1"/>
    </xf>
    <xf numFmtId="49" fontId="1" fillId="2" borderId="13" xfId="14" applyNumberFormat="1" applyFont="1" applyFill="1" applyBorder="1" applyAlignment="1">
      <alignment vertical="center" wrapText="1"/>
    </xf>
    <xf numFmtId="49" fontId="1" fillId="2" borderId="1" xfId="14" applyNumberFormat="1" applyFont="1" applyFill="1" applyBorder="1" applyAlignment="1">
      <alignment vertical="center" wrapText="1"/>
    </xf>
    <xf numFmtId="49" fontId="1" fillId="2" borderId="19" xfId="14" applyNumberFormat="1" applyFont="1" applyFill="1" applyBorder="1" applyAlignment="1">
      <alignment vertical="center" wrapText="1"/>
    </xf>
    <xf numFmtId="49" fontId="4" fillId="2" borderId="1" xfId="5" applyNumberFormat="1" applyFont="1" applyFill="1" applyBorder="1" applyAlignment="1">
      <alignment horizontal="left" vertical="center" wrapText="1"/>
    </xf>
    <xf numFmtId="49" fontId="3" fillId="2" borderId="1" xfId="5" applyNumberFormat="1" applyFont="1" applyFill="1" applyBorder="1" applyAlignment="1">
      <alignment vertical="center" wrapText="1"/>
    </xf>
    <xf numFmtId="49" fontId="3" fillId="2" borderId="3" xfId="5" applyNumberFormat="1" applyFont="1" applyFill="1" applyBorder="1" applyAlignment="1">
      <alignment vertical="center" wrapText="1"/>
    </xf>
    <xf numFmtId="49" fontId="3" fillId="2" borderId="21" xfId="14" applyNumberFormat="1" applyFont="1" applyFill="1" applyBorder="1" applyAlignment="1">
      <alignment vertical="center" wrapText="1"/>
    </xf>
    <xf numFmtId="49" fontId="3" fillId="2" borderId="16" xfId="14" applyNumberFormat="1" applyFont="1" applyFill="1" applyBorder="1" applyAlignment="1">
      <alignment vertical="center" wrapText="1"/>
    </xf>
    <xf numFmtId="49" fontId="3" fillId="2" borderId="17" xfId="5" applyNumberFormat="1" applyFont="1" applyFill="1" applyBorder="1" applyAlignment="1">
      <alignment vertical="center" wrapText="1"/>
    </xf>
    <xf numFmtId="49" fontId="3" fillId="2" borderId="18" xfId="16" applyNumberFormat="1" applyFont="1" applyFill="1" applyBorder="1" applyAlignment="1">
      <alignment vertical="center" wrapText="1"/>
    </xf>
    <xf numFmtId="49" fontId="3" fillId="2" borderId="16" xfId="16" applyNumberFormat="1" applyFont="1" applyFill="1" applyBorder="1" applyAlignment="1">
      <alignment vertical="center" wrapText="1"/>
    </xf>
    <xf numFmtId="49" fontId="3" fillId="2" borderId="19" xfId="16" applyNumberFormat="1" applyFont="1" applyFill="1" applyBorder="1" applyAlignment="1">
      <alignment vertical="center" wrapText="1"/>
    </xf>
    <xf numFmtId="0" fontId="3" fillId="2" borderId="1" xfId="0" applyNumberFormat="1" applyFont="1" applyFill="1" applyBorder="1" applyAlignment="1">
      <alignment vertical="center" wrapText="1"/>
    </xf>
    <xf numFmtId="49" fontId="3" fillId="2" borderId="16" xfId="5" applyNumberFormat="1" applyFont="1" applyFill="1" applyBorder="1" applyAlignment="1">
      <alignment vertical="center" wrapText="1"/>
    </xf>
    <xf numFmtId="49" fontId="3" fillId="2" borderId="19" xfId="5" applyNumberFormat="1" applyFont="1" applyFill="1" applyBorder="1" applyAlignment="1">
      <alignment vertical="center" wrapText="1"/>
    </xf>
    <xf numFmtId="49" fontId="3" fillId="2" borderId="26" xfId="5" applyNumberFormat="1" applyFont="1" applyFill="1" applyBorder="1" applyAlignment="1">
      <alignment vertical="center" wrapText="1"/>
    </xf>
    <xf numFmtId="11" fontId="3" fillId="2" borderId="3" xfId="0" applyNumberFormat="1" applyFont="1" applyFill="1" applyBorder="1" applyAlignment="1">
      <alignment vertical="center" wrapText="1"/>
    </xf>
    <xf numFmtId="49" fontId="1" fillId="2" borderId="3" xfId="4" applyNumberFormat="1" applyFont="1" applyFill="1" applyBorder="1" applyAlignment="1" applyProtection="1">
      <alignment horizontal="left" vertical="center" wrapText="1"/>
      <protection hidden="1"/>
    </xf>
    <xf numFmtId="49" fontId="4" fillId="2" borderId="1" xfId="4" applyNumberFormat="1" applyFont="1" applyFill="1" applyBorder="1" applyAlignment="1" applyProtection="1">
      <alignment horizontal="left" vertical="center" wrapText="1"/>
      <protection hidden="1"/>
    </xf>
    <xf numFmtId="49" fontId="3" fillId="2" borderId="3" xfId="4" applyNumberFormat="1" applyFont="1" applyFill="1" applyBorder="1" applyAlignment="1" applyProtection="1">
      <alignment horizontal="left" vertical="center" wrapText="1"/>
      <protection hidden="1"/>
    </xf>
    <xf numFmtId="49" fontId="3" fillId="2" borderId="3" xfId="0" applyNumberFormat="1" applyFont="1" applyFill="1" applyBorder="1" applyAlignment="1">
      <alignment horizontal="left" vertical="center" wrapText="1"/>
    </xf>
    <xf numFmtId="49" fontId="3" fillId="2" borderId="29" xfId="14" applyNumberFormat="1" applyFont="1" applyFill="1" applyBorder="1" applyAlignment="1">
      <alignment vertical="center" wrapText="1"/>
    </xf>
    <xf numFmtId="49" fontId="3" fillId="2" borderId="13" xfId="14" applyNumberFormat="1" applyFont="1" applyFill="1" applyBorder="1" applyAlignment="1">
      <alignment vertical="center" wrapText="1"/>
    </xf>
    <xf numFmtId="49" fontId="3" fillId="2" borderId="1" xfId="14" applyNumberFormat="1" applyFont="1" applyFill="1" applyBorder="1" applyAlignment="1">
      <alignment vertical="center" wrapText="1"/>
    </xf>
    <xf numFmtId="49" fontId="3" fillId="2" borderId="19" xfId="14" applyNumberFormat="1" applyFont="1" applyFill="1" applyBorder="1" applyAlignment="1">
      <alignment vertical="center" wrapText="1"/>
    </xf>
    <xf numFmtId="49" fontId="3" fillId="2" borderId="22" xfId="14" applyNumberFormat="1" applyFont="1" applyFill="1" applyBorder="1" applyAlignment="1">
      <alignment vertical="center" wrapText="1"/>
    </xf>
    <xf numFmtId="49" fontId="3" fillId="2" borderId="28" xfId="14" applyNumberFormat="1" applyFont="1" applyFill="1" applyBorder="1" applyAlignment="1">
      <alignment vertical="center" wrapText="1"/>
    </xf>
    <xf numFmtId="49" fontId="3" fillId="2" borderId="28" xfId="16" applyNumberFormat="1" applyFont="1" applyFill="1" applyBorder="1" applyAlignment="1">
      <alignment vertical="center" wrapText="1"/>
    </xf>
    <xf numFmtId="49" fontId="1" fillId="2" borderId="19" xfId="16" applyNumberFormat="1" applyFont="1" applyFill="1" applyBorder="1" applyAlignment="1">
      <alignment vertical="center" wrapText="1"/>
    </xf>
    <xf numFmtId="49" fontId="4" fillId="2" borderId="3" xfId="0" applyNumberFormat="1" applyFont="1" applyFill="1" applyBorder="1" applyAlignment="1">
      <alignment vertical="center" wrapText="1"/>
    </xf>
    <xf numFmtId="49" fontId="4" fillId="2" borderId="1" xfId="0" applyNumberFormat="1" applyFont="1" applyFill="1" applyBorder="1" applyAlignment="1">
      <alignment horizontal="left" vertical="center" wrapText="1"/>
    </xf>
    <xf numFmtId="49" fontId="2" fillId="2" borderId="3" xfId="0" applyNumberFormat="1" applyFont="1" applyFill="1" applyBorder="1" applyAlignment="1">
      <alignment vertical="center" wrapText="1"/>
    </xf>
    <xf numFmtId="11" fontId="1" fillId="2" borderId="3" xfId="0" applyNumberFormat="1" applyFont="1" applyFill="1" applyBorder="1" applyAlignment="1">
      <alignment vertical="center" wrapText="1"/>
    </xf>
    <xf numFmtId="49" fontId="1" fillId="2" borderId="3" xfId="6"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3" xfId="5" applyNumberFormat="1" applyFont="1" applyFill="1" applyBorder="1" applyAlignment="1">
      <alignment vertical="center" wrapText="1"/>
    </xf>
    <xf numFmtId="49" fontId="1" fillId="2" borderId="1" xfId="16" applyNumberFormat="1" applyFont="1" applyFill="1" applyBorder="1" applyAlignment="1">
      <alignment vertical="center" wrapText="1"/>
    </xf>
    <xf numFmtId="49" fontId="2" fillId="2" borderId="22" xfId="16" applyNumberFormat="1" applyFont="1" applyFill="1" applyBorder="1" applyAlignment="1">
      <alignment vertical="center" wrapText="1"/>
    </xf>
    <xf numFmtId="49" fontId="1" fillId="2" borderId="19" xfId="5" applyNumberFormat="1" applyFont="1" applyFill="1" applyBorder="1" applyAlignment="1">
      <alignment vertical="center" wrapText="1"/>
    </xf>
    <xf numFmtId="49" fontId="1" fillId="2" borderId="18" xfId="5" applyNumberFormat="1" applyFont="1" applyFill="1" applyBorder="1" applyAlignment="1">
      <alignment vertical="center" wrapText="1"/>
    </xf>
    <xf numFmtId="49" fontId="1" fillId="2" borderId="22" xfId="14" applyNumberFormat="1" applyFont="1" applyFill="1" applyBorder="1" applyAlignment="1">
      <alignment vertical="center" wrapText="1"/>
    </xf>
    <xf numFmtId="49" fontId="1" fillId="2" borderId="18" xfId="14" applyNumberFormat="1" applyFont="1" applyFill="1" applyBorder="1" applyAlignment="1">
      <alignment vertical="center" wrapText="1"/>
    </xf>
    <xf numFmtId="49" fontId="1" fillId="2" borderId="20" xfId="16" applyNumberFormat="1" applyFont="1" applyFill="1" applyBorder="1" applyAlignment="1">
      <alignment vertical="center" wrapText="1"/>
    </xf>
    <xf numFmtId="49" fontId="1" fillId="2" borderId="16" xfId="16" applyNumberFormat="1" applyFont="1" applyFill="1" applyBorder="1" applyAlignment="1">
      <alignment vertical="center" wrapText="1"/>
    </xf>
    <xf numFmtId="49" fontId="1" fillId="2" borderId="18" xfId="16" applyNumberFormat="1" applyFont="1" applyFill="1" applyBorder="1" applyAlignment="1">
      <alignment vertical="center" wrapText="1"/>
    </xf>
    <xf numFmtId="49" fontId="1" fillId="2" borderId="38" xfId="16" applyNumberFormat="1" applyFont="1" applyFill="1" applyBorder="1" applyAlignment="1">
      <alignment vertical="center" wrapText="1"/>
    </xf>
    <xf numFmtId="49" fontId="1" fillId="2" borderId="19" xfId="16" applyNumberFormat="1" applyFont="1" applyFill="1" applyBorder="1" applyAlignment="1">
      <alignment horizontal="left" vertical="center" wrapText="1"/>
    </xf>
    <xf numFmtId="49" fontId="1" fillId="2" borderId="19" xfId="6" applyNumberFormat="1" applyFont="1" applyFill="1" applyBorder="1" applyAlignment="1">
      <alignment horizontal="left" vertical="center" wrapText="1"/>
    </xf>
    <xf numFmtId="49" fontId="1" fillId="2" borderId="19" xfId="8" applyNumberFormat="1" applyFont="1" applyFill="1" applyBorder="1" applyAlignment="1">
      <alignment vertical="center" wrapText="1"/>
    </xf>
    <xf numFmtId="49" fontId="1" fillId="2" borderId="19" xfId="11" applyNumberFormat="1" applyFont="1" applyFill="1" applyBorder="1" applyAlignment="1">
      <alignment vertical="center" wrapText="1"/>
    </xf>
    <xf numFmtId="49" fontId="1" fillId="2" borderId="19" xfId="5" applyNumberFormat="1" applyFont="1" applyFill="1" applyBorder="1" applyAlignment="1">
      <alignment horizontal="left" vertical="center" wrapText="1"/>
    </xf>
    <xf numFmtId="49" fontId="1" fillId="2" borderId="3" xfId="7" applyNumberFormat="1" applyFont="1" applyFill="1" applyBorder="1" applyAlignment="1">
      <alignment vertical="center" wrapText="1"/>
    </xf>
    <xf numFmtId="2" fontId="1" fillId="2" borderId="3" xfId="0" applyNumberFormat="1" applyFont="1" applyFill="1" applyBorder="1" applyAlignment="1">
      <alignment vertical="center" wrapText="1"/>
    </xf>
    <xf numFmtId="49" fontId="2" fillId="2" borderId="3" xfId="0" applyNumberFormat="1" applyFont="1" applyFill="1" applyBorder="1" applyAlignment="1">
      <alignment horizontal="left" vertical="center" wrapText="1"/>
    </xf>
    <xf numFmtId="49" fontId="1" fillId="2" borderId="1" xfId="5" applyNumberFormat="1" applyFont="1" applyFill="1" applyBorder="1" applyAlignment="1">
      <alignment horizontal="left" vertical="center" wrapText="1"/>
    </xf>
    <xf numFmtId="49" fontId="1" fillId="2" borderId="0" xfId="16" applyNumberFormat="1" applyFont="1" applyFill="1" applyBorder="1" applyAlignment="1">
      <alignment vertical="center" wrapText="1"/>
    </xf>
    <xf numFmtId="49" fontId="1" fillId="3" borderId="3" xfId="0" applyNumberFormat="1" applyFont="1" applyFill="1" applyBorder="1" applyAlignment="1">
      <alignment vertical="center" wrapText="1"/>
    </xf>
    <xf numFmtId="49" fontId="1" fillId="3" borderId="3" xfId="0" applyNumberFormat="1" applyFont="1" applyFill="1" applyBorder="1" applyAlignment="1">
      <alignment horizontal="left" vertical="center" wrapText="1"/>
    </xf>
    <xf numFmtId="0" fontId="1" fillId="2" borderId="3" xfId="0" applyNumberFormat="1" applyFont="1" applyFill="1" applyBorder="1" applyAlignment="1">
      <alignment vertical="center" wrapText="1"/>
    </xf>
    <xf numFmtId="4" fontId="1" fillId="2" borderId="3" xfId="0" applyNumberFormat="1" applyFont="1" applyFill="1" applyBorder="1" applyAlignment="1">
      <alignment vertical="center" wrapText="1"/>
    </xf>
    <xf numFmtId="0" fontId="1" fillId="2" borderId="1" xfId="3" applyFont="1" applyFill="1" applyBorder="1" applyAlignment="1">
      <alignment vertical="center" wrapText="1"/>
    </xf>
    <xf numFmtId="49" fontId="1" fillId="2" borderId="1" xfId="0" applyNumberFormat="1" applyFont="1" applyFill="1" applyBorder="1" applyAlignment="1">
      <alignment vertical="center" wrapText="1"/>
    </xf>
    <xf numFmtId="49" fontId="2" fillId="2" borderId="19" xfId="16" applyNumberFormat="1" applyFont="1" applyFill="1" applyBorder="1" applyAlignment="1">
      <alignment vertical="center" wrapText="1"/>
    </xf>
    <xf numFmtId="49" fontId="2"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21" xfId="16" applyNumberFormat="1" applyFont="1" applyFill="1" applyBorder="1" applyAlignment="1">
      <alignment horizontal="center"/>
    </xf>
    <xf numFmtId="49" fontId="1" fillId="2" borderId="3" xfId="0" applyNumberFormat="1" applyFont="1" applyFill="1" applyBorder="1" applyAlignment="1">
      <alignment wrapText="1"/>
    </xf>
    <xf numFmtId="0" fontId="1" fillId="2" borderId="1" xfId="14" applyFont="1" applyFill="1" applyBorder="1" applyAlignment="1">
      <alignment horizontal="center" vertical="top"/>
    </xf>
    <xf numFmtId="49" fontId="3" fillId="2" borderId="19" xfId="11" applyNumberFormat="1" applyFont="1" applyFill="1" applyBorder="1" applyAlignment="1">
      <alignment wrapText="1"/>
    </xf>
    <xf numFmtId="49" fontId="3" fillId="2" borderId="23" xfId="11" applyNumberFormat="1" applyFont="1" applyFill="1" applyBorder="1" applyAlignment="1">
      <alignment horizontal="center" wrapText="1"/>
    </xf>
    <xf numFmtId="49" fontId="3" fillId="2" borderId="23" xfId="11" applyNumberFormat="1" applyFont="1" applyFill="1" applyBorder="1" applyAlignment="1">
      <alignment horizontal="center"/>
    </xf>
    <xf numFmtId="166" fontId="3" fillId="2" borderId="1" xfId="16" applyNumberFormat="1" applyFont="1" applyFill="1" applyBorder="1" applyAlignment="1">
      <alignment horizontal="right"/>
    </xf>
    <xf numFmtId="0" fontId="1" fillId="2" borderId="30" xfId="16" applyFont="1" applyFill="1" applyBorder="1" applyAlignment="1">
      <alignment horizontal="center" vertical="top"/>
    </xf>
    <xf numFmtId="49" fontId="1" fillId="2" borderId="33" xfId="11" applyNumberFormat="1" applyFont="1" applyFill="1" applyBorder="1" applyAlignment="1">
      <alignment horizontal="center" wrapText="1"/>
    </xf>
    <xf numFmtId="49" fontId="1" fillId="2" borderId="10" xfId="0" applyNumberFormat="1" applyFont="1" applyFill="1" applyBorder="1" applyAlignment="1">
      <alignment horizontal="center"/>
    </xf>
    <xf numFmtId="49" fontId="1" fillId="2" borderId="43" xfId="16" applyNumberFormat="1" applyFont="1" applyFill="1" applyBorder="1" applyAlignment="1">
      <alignment horizontal="center"/>
    </xf>
    <xf numFmtId="49" fontId="3" fillId="2" borderId="42" xfId="11" applyNumberFormat="1" applyFont="1" applyFill="1" applyBorder="1" applyAlignment="1">
      <alignment horizontal="center"/>
    </xf>
    <xf numFmtId="49" fontId="3" fillId="2" borderId="9" xfId="16" applyNumberFormat="1" applyFont="1" applyFill="1" applyBorder="1" applyAlignment="1">
      <alignment horizontal="center"/>
    </xf>
    <xf numFmtId="49" fontId="3" fillId="2" borderId="3" xfId="16" applyNumberFormat="1" applyFont="1" applyFill="1" applyBorder="1" applyAlignment="1">
      <alignment horizontal="center"/>
    </xf>
    <xf numFmtId="0" fontId="4" fillId="2" borderId="15" xfId="3" applyFont="1" applyFill="1" applyBorder="1" applyAlignment="1">
      <alignment horizontal="center" vertical="top"/>
    </xf>
    <xf numFmtId="0" fontId="4" fillId="2" borderId="12" xfId="3" applyFont="1" applyFill="1" applyBorder="1" applyAlignment="1">
      <alignment vertical="top" wrapText="1"/>
    </xf>
    <xf numFmtId="0" fontId="3" fillId="2" borderId="12" xfId="3" applyFont="1" applyFill="1" applyBorder="1" applyAlignment="1">
      <alignment vertical="top" wrapText="1"/>
    </xf>
    <xf numFmtId="0" fontId="3" fillId="2" borderId="13" xfId="3" applyFont="1" applyFill="1" applyBorder="1" applyAlignment="1">
      <alignment vertical="top" wrapText="1"/>
    </xf>
    <xf numFmtId="174" fontId="3" fillId="2" borderId="10" xfId="0" applyNumberFormat="1" applyFont="1" applyFill="1" applyBorder="1" applyAlignment="1">
      <alignment vertical="top"/>
    </xf>
    <xf numFmtId="49" fontId="3" fillId="2" borderId="40" xfId="11" applyNumberFormat="1" applyFont="1" applyFill="1" applyBorder="1" applyAlignment="1">
      <alignment horizontal="center" wrapText="1"/>
    </xf>
    <xf numFmtId="49" fontId="3" fillId="2" borderId="41" xfId="11" applyNumberFormat="1" applyFont="1" applyFill="1" applyBorder="1" applyAlignment="1">
      <alignment horizontal="center"/>
    </xf>
    <xf numFmtId="0" fontId="1" fillId="2" borderId="21" xfId="16" applyFont="1" applyFill="1" applyBorder="1" applyAlignment="1">
      <alignment horizontal="center" vertical="top"/>
    </xf>
    <xf numFmtId="49" fontId="1" fillId="2" borderId="1" xfId="5" applyNumberFormat="1" applyFont="1" applyFill="1" applyBorder="1" applyAlignment="1">
      <alignment vertical="center" wrapText="1"/>
    </xf>
    <xf numFmtId="0" fontId="1" fillId="2" borderId="5" xfId="14" applyFont="1" applyFill="1" applyBorder="1" applyAlignment="1">
      <alignment horizontal="center" vertical="top"/>
    </xf>
    <xf numFmtId="49" fontId="1" fillId="2" borderId="19" xfId="11" applyNumberFormat="1" applyFont="1" applyFill="1" applyBorder="1" applyAlignment="1">
      <alignment horizontal="center"/>
    </xf>
    <xf numFmtId="49" fontId="1" fillId="2" borderId="22" xfId="16" applyNumberFormat="1" applyFont="1" applyFill="1" applyBorder="1" applyAlignment="1">
      <alignment horizontal="left" vertical="center" wrapText="1"/>
    </xf>
    <xf numFmtId="49" fontId="1" fillId="2" borderId="21" xfId="5" applyNumberFormat="1" applyFont="1" applyFill="1" applyBorder="1" applyAlignment="1">
      <alignment horizontal="center" wrapText="1"/>
    </xf>
    <xf numFmtId="0" fontId="1" fillId="2" borderId="23" xfId="16" applyFont="1" applyFill="1" applyBorder="1" applyAlignment="1">
      <alignment horizontal="center" vertical="top"/>
    </xf>
    <xf numFmtId="0" fontId="1" fillId="2" borderId="17" xfId="16" applyFont="1" applyFill="1" applyBorder="1" applyAlignment="1">
      <alignment horizontal="center" vertical="top"/>
    </xf>
    <xf numFmtId="166" fontId="3" fillId="2" borderId="0" xfId="1" applyNumberFormat="1" applyFont="1" applyFill="1" applyBorder="1" applyAlignment="1">
      <alignment vertical="top"/>
    </xf>
    <xf numFmtId="43" fontId="24" fillId="2" borderId="0" xfId="19" applyFont="1" applyFill="1"/>
    <xf numFmtId="49" fontId="1" fillId="2" borderId="25" xfId="16" applyNumberFormat="1" applyFont="1" applyFill="1" applyBorder="1" applyAlignment="1">
      <alignment horizontal="center"/>
    </xf>
    <xf numFmtId="0" fontId="1" fillId="2" borderId="0" xfId="7" applyFont="1" applyFill="1" applyAlignment="1">
      <alignment horizontal="left"/>
    </xf>
    <xf numFmtId="49" fontId="1" fillId="2" borderId="1" xfId="16" applyNumberFormat="1" applyFont="1" applyFill="1" applyBorder="1" applyAlignment="1">
      <alignment horizontal="center"/>
    </xf>
    <xf numFmtId="0" fontId="3" fillId="2" borderId="0" xfId="7" applyFont="1" applyFill="1" applyBorder="1" applyAlignment="1">
      <alignment horizontal="left" vertical="top"/>
    </xf>
    <xf numFmtId="0" fontId="3" fillId="2" borderId="0" xfId="7" applyFont="1" applyFill="1" applyAlignment="1">
      <alignment horizontal="left" vertical="top"/>
    </xf>
    <xf numFmtId="168" fontId="3" fillId="2" borderId="0" xfId="7" applyNumberFormat="1" applyFont="1" applyFill="1" applyAlignment="1">
      <alignment horizontal="right"/>
    </xf>
    <xf numFmtId="0" fontId="1" fillId="2" borderId="0" xfId="7" applyFont="1" applyFill="1" applyAlignment="1">
      <alignment horizontal="left"/>
    </xf>
    <xf numFmtId="49" fontId="1" fillId="2" borderId="19" xfId="11" applyNumberFormat="1" applyFont="1" applyFill="1" applyBorder="1" applyAlignment="1">
      <alignment horizontal="center" wrapText="1"/>
    </xf>
    <xf numFmtId="49" fontId="1" fillId="2" borderId="22" xfId="16" applyNumberFormat="1" applyFont="1" applyFill="1" applyBorder="1" applyAlignment="1">
      <alignment vertical="center" wrapText="1"/>
    </xf>
    <xf numFmtId="166" fontId="1" fillId="2" borderId="0" xfId="7" applyNumberFormat="1" applyFont="1" applyFill="1" applyAlignment="1">
      <alignment horizontal="right"/>
    </xf>
    <xf numFmtId="174" fontId="3" fillId="2" borderId="12" xfId="13" applyNumberFormat="1" applyFont="1" applyFill="1" applyBorder="1" applyAlignment="1">
      <alignment horizontal="right" vertical="center"/>
    </xf>
    <xf numFmtId="174" fontId="4" fillId="2" borderId="0" xfId="13" applyNumberFormat="1" applyFont="1" applyFill="1" applyBorder="1" applyAlignment="1">
      <alignment horizontal="right" vertical="center"/>
    </xf>
    <xf numFmtId="174" fontId="3" fillId="2" borderId="0" xfId="13" applyNumberFormat="1" applyFont="1" applyFill="1" applyBorder="1" applyAlignment="1">
      <alignment horizontal="right" vertical="center"/>
    </xf>
    <xf numFmtId="49" fontId="4" fillId="2" borderId="1" xfId="7" applyNumberFormat="1" applyFont="1" applyFill="1" applyBorder="1" applyAlignment="1">
      <alignment horizontal="left" wrapText="1"/>
    </xf>
    <xf numFmtId="166" fontId="6" fillId="2" borderId="1" xfId="0" applyNumberFormat="1" applyFont="1" applyFill="1" applyBorder="1" applyAlignment="1">
      <alignment horizontal="right" vertical="top"/>
    </xf>
    <xf numFmtId="166" fontId="6" fillId="2" borderId="1" xfId="0" applyNumberFormat="1" applyFont="1" applyFill="1" applyBorder="1" applyAlignment="1">
      <alignment vertical="top"/>
    </xf>
    <xf numFmtId="166" fontId="6" fillId="2" borderId="1" xfId="1" applyNumberFormat="1" applyFont="1" applyFill="1" applyBorder="1" applyAlignment="1">
      <alignment vertical="top"/>
    </xf>
    <xf numFmtId="49" fontId="1" fillId="2" borderId="1" xfId="4" applyNumberFormat="1" applyFont="1" applyFill="1" applyBorder="1" applyAlignment="1" applyProtection="1">
      <alignment horizontal="left" vertical="center" wrapText="1"/>
      <protection hidden="1"/>
    </xf>
    <xf numFmtId="49" fontId="1" fillId="2" borderId="1" xfId="7" applyNumberFormat="1" applyFont="1" applyFill="1" applyBorder="1" applyAlignment="1">
      <alignment horizontal="left" wrapText="1"/>
    </xf>
    <xf numFmtId="49" fontId="1" fillId="2" borderId="3" xfId="5" applyNumberFormat="1" applyFont="1" applyFill="1" applyBorder="1" applyAlignment="1">
      <alignment horizontal="left" wrapText="1"/>
    </xf>
    <xf numFmtId="49" fontId="1" fillId="2" borderId="44" xfId="6" applyNumberFormat="1" applyFont="1" applyFill="1" applyBorder="1" applyAlignment="1">
      <alignment horizontal="center"/>
    </xf>
    <xf numFmtId="49" fontId="1" fillId="2" borderId="38" xfId="16" applyNumberFormat="1" applyFont="1" applyFill="1" applyBorder="1" applyAlignment="1">
      <alignment horizontal="center"/>
    </xf>
    <xf numFmtId="49" fontId="1" fillId="2" borderId="26" xfId="11" applyNumberFormat="1" applyFont="1" applyFill="1" applyBorder="1" applyAlignment="1">
      <alignment horizontal="center"/>
    </xf>
    <xf numFmtId="49" fontId="1" fillId="2" borderId="22" xfId="11" applyNumberFormat="1" applyFont="1" applyFill="1" applyBorder="1" applyAlignment="1">
      <alignment horizontal="center"/>
    </xf>
    <xf numFmtId="49" fontId="1" fillId="2" borderId="21" xfId="12" applyNumberFormat="1" applyFont="1" applyFill="1" applyBorder="1" applyAlignment="1">
      <alignment horizontal="center" wrapText="1"/>
    </xf>
    <xf numFmtId="49" fontId="1" fillId="2" borderId="21" xfId="12" applyNumberFormat="1" applyFont="1" applyFill="1" applyBorder="1" applyAlignment="1">
      <alignment horizontal="center"/>
    </xf>
    <xf numFmtId="168" fontId="3" fillId="2" borderId="1" xfId="0" applyNumberFormat="1" applyFont="1" applyFill="1" applyBorder="1" applyAlignment="1">
      <alignment horizontal="center" vertical="center" wrapText="1"/>
    </xf>
    <xf numFmtId="168" fontId="3" fillId="2" borderId="1" xfId="0" applyNumberFormat="1" applyFont="1" applyFill="1" applyBorder="1" applyAlignment="1">
      <alignment horizontal="center" wrapText="1"/>
    </xf>
    <xf numFmtId="168" fontId="1" fillId="2" borderId="1" xfId="0" applyNumberFormat="1" applyFont="1" applyFill="1" applyBorder="1" applyAlignment="1">
      <alignment vertical="center" wrapText="1"/>
    </xf>
    <xf numFmtId="169" fontId="3" fillId="2" borderId="1" xfId="0" applyNumberFormat="1" applyFont="1" applyFill="1" applyBorder="1" applyAlignment="1">
      <alignment horizontal="center" wrapText="1"/>
    </xf>
    <xf numFmtId="175" fontId="23" fillId="2" borderId="0" xfId="7" applyNumberFormat="1" applyFont="1" applyFill="1"/>
    <xf numFmtId="0" fontId="3" fillId="2" borderId="1" xfId="0" applyFont="1" applyFill="1" applyBorder="1" applyAlignment="1">
      <alignment horizontal="justify" vertical="top" wrapText="1"/>
    </xf>
    <xf numFmtId="49" fontId="1" fillId="2" borderId="2" xfId="11" applyNumberFormat="1" applyFont="1" applyFill="1" applyBorder="1" applyAlignment="1">
      <alignment horizontal="center"/>
    </xf>
    <xf numFmtId="49" fontId="1" fillId="2" borderId="9" xfId="16" applyNumberFormat="1" applyFont="1" applyFill="1" applyBorder="1" applyAlignment="1">
      <alignment horizontal="center"/>
    </xf>
    <xf numFmtId="49" fontId="1" fillId="2" borderId="3" xfId="16" applyNumberFormat="1" applyFont="1" applyFill="1" applyBorder="1" applyAlignment="1">
      <alignment horizontal="center" wrapText="1"/>
    </xf>
    <xf numFmtId="49" fontId="1" fillId="2" borderId="3" xfId="16" applyNumberFormat="1" applyFont="1" applyFill="1" applyBorder="1" applyAlignment="1">
      <alignment horizontal="center"/>
    </xf>
    <xf numFmtId="49" fontId="1" fillId="2" borderId="30" xfId="11" applyNumberFormat="1" applyFont="1" applyFill="1" applyBorder="1" applyAlignment="1">
      <alignment horizontal="center"/>
    </xf>
    <xf numFmtId="49" fontId="1" fillId="2" borderId="33" xfId="16" applyNumberFormat="1" applyFont="1" applyFill="1" applyBorder="1" applyAlignment="1">
      <alignment horizontal="center"/>
    </xf>
    <xf numFmtId="49" fontId="1" fillId="2" borderId="22" xfId="16" applyNumberFormat="1" applyFont="1" applyFill="1" applyBorder="1" applyAlignment="1">
      <alignment horizontal="center" wrapText="1"/>
    </xf>
    <xf numFmtId="49" fontId="1" fillId="2" borderId="26" xfId="11" applyNumberFormat="1" applyFont="1" applyFill="1" applyBorder="1" applyAlignment="1">
      <alignment horizontal="center" wrapText="1"/>
    </xf>
    <xf numFmtId="49" fontId="1" fillId="2" borderId="30" xfId="16" applyNumberFormat="1" applyFont="1" applyFill="1" applyBorder="1" applyAlignment="1">
      <alignment horizontal="center"/>
    </xf>
    <xf numFmtId="49" fontId="1" fillId="2" borderId="31" xfId="11" applyNumberFormat="1" applyFont="1" applyFill="1" applyBorder="1" applyAlignment="1">
      <alignment horizontal="center" wrapText="1"/>
    </xf>
    <xf numFmtId="49" fontId="1" fillId="2" borderId="37" xfId="16" applyNumberFormat="1" applyFont="1" applyFill="1" applyBorder="1" applyAlignment="1">
      <alignment vertical="center" wrapText="1"/>
    </xf>
    <xf numFmtId="49" fontId="1" fillId="2" borderId="26" xfId="11" applyNumberFormat="1" applyFont="1" applyFill="1" applyBorder="1" applyAlignment="1">
      <alignment vertical="center" wrapText="1"/>
    </xf>
    <xf numFmtId="166" fontId="1" fillId="2" borderId="5" xfId="0" applyNumberFormat="1" applyFont="1" applyFill="1" applyBorder="1" applyAlignment="1">
      <alignment horizontal="right"/>
    </xf>
    <xf numFmtId="0" fontId="6" fillId="2" borderId="1" xfId="7" applyFont="1" applyFill="1" applyBorder="1" applyAlignment="1">
      <alignment vertical="top" wrapText="1"/>
    </xf>
    <xf numFmtId="0" fontId="6" fillId="2" borderId="1" xfId="5" applyFont="1" applyFill="1" applyBorder="1" applyAlignment="1">
      <alignment horizontal="left" vertical="top" wrapText="1"/>
    </xf>
    <xf numFmtId="0" fontId="28" fillId="2" borderId="0" xfId="0" applyFont="1" applyFill="1" applyAlignment="1">
      <alignment wrapText="1"/>
    </xf>
    <xf numFmtId="49" fontId="1" fillId="2" borderId="22" xfId="11" applyNumberFormat="1" applyFont="1" applyFill="1" applyBorder="1" applyAlignment="1">
      <alignment vertical="center" wrapText="1"/>
    </xf>
    <xf numFmtId="49" fontId="1" fillId="2" borderId="21" xfId="11" applyNumberFormat="1" applyFont="1" applyFill="1" applyBorder="1" applyAlignment="1">
      <alignment horizontal="center" wrapText="1"/>
    </xf>
    <xf numFmtId="49" fontId="4" fillId="2" borderId="3" xfId="0" applyNumberFormat="1" applyFont="1" applyFill="1" applyBorder="1" applyAlignment="1">
      <alignment wrapText="1"/>
    </xf>
    <xf numFmtId="49" fontId="3" fillId="2" borderId="3" xfId="5" applyNumberFormat="1" applyFont="1" applyFill="1" applyBorder="1" applyAlignment="1">
      <alignment horizontal="left" wrapText="1"/>
    </xf>
    <xf numFmtId="49" fontId="3" fillId="2" borderId="0" xfId="0" applyNumberFormat="1" applyFont="1" applyFill="1" applyBorder="1" applyAlignment="1">
      <alignment vertical="center" wrapText="1"/>
    </xf>
    <xf numFmtId="166" fontId="1" fillId="2" borderId="0" xfId="16" applyNumberFormat="1" applyFont="1" applyFill="1" applyBorder="1" applyAlignment="1">
      <alignment horizontal="right"/>
    </xf>
    <xf numFmtId="49" fontId="1" fillId="2" borderId="3" xfId="8" applyNumberFormat="1" applyFont="1" applyFill="1" applyBorder="1" applyAlignment="1">
      <alignment vertical="center" wrapText="1"/>
    </xf>
    <xf numFmtId="0" fontId="3" fillId="2" borderId="0" xfId="7" applyFont="1" applyFill="1" applyBorder="1" applyAlignment="1">
      <alignment horizontal="left"/>
    </xf>
    <xf numFmtId="0" fontId="3" fillId="2" borderId="0" xfId="7" applyFont="1" applyFill="1" applyAlignment="1">
      <alignment horizontal="left"/>
    </xf>
    <xf numFmtId="49" fontId="4" fillId="2" borderId="0" xfId="7" applyNumberFormat="1" applyFont="1" applyFill="1" applyBorder="1" applyAlignment="1">
      <alignment vertical="top" wrapText="1"/>
    </xf>
    <xf numFmtId="166" fontId="3" fillId="2" borderId="0" xfId="7" applyNumberFormat="1" applyFont="1" applyFill="1" applyBorder="1" applyAlignment="1">
      <alignment horizontal="center"/>
    </xf>
    <xf numFmtId="166" fontId="3" fillId="2" borderId="0" xfId="7" applyNumberFormat="1" applyFont="1" applyFill="1"/>
    <xf numFmtId="49" fontId="2" fillId="2" borderId="0" xfId="7" applyNumberFormat="1" applyFont="1" applyFill="1" applyBorder="1" applyAlignment="1">
      <alignment vertical="top" wrapText="1"/>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1" xfId="11" applyNumberFormat="1" applyFont="1" applyFill="1" applyBorder="1" applyAlignment="1">
      <alignment vertical="center" wrapText="1"/>
    </xf>
    <xf numFmtId="0" fontId="29" fillId="2" borderId="0" xfId="0" applyFont="1" applyFill="1" applyAlignment="1">
      <alignment wrapText="1"/>
    </xf>
    <xf numFmtId="170" fontId="1" fillId="2" borderId="2" xfId="1" applyNumberFormat="1" applyFont="1" applyFill="1" applyBorder="1" applyAlignment="1">
      <alignment horizontal="center" vertical="center" wrapText="1"/>
    </xf>
    <xf numFmtId="170" fontId="1" fillId="2" borderId="9" xfId="1" applyNumberFormat="1" applyFont="1" applyFill="1" applyBorder="1" applyAlignment="1">
      <alignment horizontal="center" vertical="center" wrapText="1"/>
    </xf>
    <xf numFmtId="170" fontId="1" fillId="2" borderId="3" xfId="1" applyNumberFormat="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0" xfId="1" applyFont="1" applyFill="1" applyBorder="1" applyAlignment="1">
      <alignment horizontal="left" wrapText="1"/>
    </xf>
    <xf numFmtId="0" fontId="1" fillId="2" borderId="5"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5" xfId="1" applyFont="1" applyFill="1" applyBorder="1" applyAlignment="1">
      <alignment horizontal="center" vertical="center" wrapText="1"/>
    </xf>
    <xf numFmtId="0" fontId="1" fillId="2" borderId="13" xfId="1" applyFont="1" applyFill="1" applyBorder="1" applyAlignment="1">
      <alignment horizontal="center" vertical="center" wrapText="1"/>
    </xf>
    <xf numFmtId="43" fontId="4" fillId="2" borderId="0" xfId="19" applyFont="1" applyFill="1" applyAlignment="1">
      <alignment horizontal="center" wrapText="1"/>
    </xf>
    <xf numFmtId="166" fontId="3" fillId="2" borderId="2" xfId="1" applyNumberFormat="1" applyFont="1" applyFill="1" applyBorder="1" applyAlignment="1">
      <alignment horizontal="center"/>
    </xf>
    <xf numFmtId="166" fontId="3" fillId="2" borderId="3" xfId="1" applyNumberFormat="1" applyFont="1" applyFill="1" applyBorder="1" applyAlignment="1">
      <alignment horizont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0" xfId="0" applyFont="1" applyFill="1" applyAlignment="1">
      <alignment horizontal="center" wrapText="1"/>
    </xf>
    <xf numFmtId="168" fontId="3" fillId="2" borderId="2" xfId="3" applyNumberFormat="1" applyFont="1" applyFill="1" applyBorder="1" applyAlignment="1">
      <alignment horizontal="center" vertical="center"/>
    </xf>
    <xf numFmtId="168" fontId="3" fillId="2" borderId="9" xfId="3" applyNumberFormat="1" applyFont="1" applyFill="1" applyBorder="1" applyAlignment="1">
      <alignment horizontal="center" vertical="center"/>
    </xf>
    <xf numFmtId="168" fontId="3" fillId="2" borderId="3" xfId="3" applyNumberFormat="1" applyFont="1" applyFill="1" applyBorder="1" applyAlignment="1">
      <alignment horizontal="center" vertical="center"/>
    </xf>
    <xf numFmtId="0" fontId="4" fillId="2" borderId="0" xfId="3" applyFont="1" applyFill="1" applyAlignment="1">
      <alignment horizontal="center"/>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2" borderId="5" xfId="3" applyFont="1" applyFill="1" applyBorder="1" applyAlignment="1">
      <alignment horizontal="center" vertical="center"/>
    </xf>
    <xf numFmtId="0" fontId="3" fillId="2" borderId="13" xfId="3" applyFont="1" applyFill="1" applyBorder="1" applyAlignment="1">
      <alignment horizontal="center" vertical="center"/>
    </xf>
    <xf numFmtId="1" fontId="4" fillId="2" borderId="0" xfId="2" applyNumberFormat="1" applyFont="1" applyFill="1" applyAlignment="1">
      <alignment horizontal="center" wrapText="1"/>
    </xf>
    <xf numFmtId="49" fontId="3" fillId="2" borderId="6" xfId="7" applyNumberFormat="1" applyFont="1" applyFill="1" applyBorder="1" applyAlignment="1">
      <alignment horizontal="center" vertical="center"/>
    </xf>
    <xf numFmtId="49" fontId="3" fillId="2" borderId="7" xfId="7" applyNumberFormat="1" applyFont="1" applyFill="1" applyBorder="1" applyAlignment="1">
      <alignment horizontal="center" vertical="center"/>
    </xf>
    <xf numFmtId="49" fontId="3" fillId="2" borderId="8" xfId="7" applyNumberFormat="1" applyFont="1" applyFill="1" applyBorder="1" applyAlignment="1">
      <alignment horizontal="center" vertical="center"/>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3" applyFont="1" applyFill="1" applyBorder="1" applyAlignment="1">
      <alignment horizontal="center" vertical="center"/>
    </xf>
    <xf numFmtId="0" fontId="1" fillId="2" borderId="13" xfId="3"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3" fontId="25" fillId="2" borderId="5" xfId="19" applyFont="1" applyFill="1" applyBorder="1" applyAlignment="1">
      <alignment horizontal="center" vertical="center" wrapText="1"/>
    </xf>
    <xf numFmtId="43" fontId="25" fillId="2" borderId="13" xfId="19" applyFont="1" applyFill="1" applyBorder="1" applyAlignment="1">
      <alignment horizontal="center" vertical="center" wrapText="1"/>
    </xf>
    <xf numFmtId="43" fontId="3" fillId="2" borderId="2" xfId="19" applyFont="1" applyFill="1" applyBorder="1" applyAlignment="1">
      <alignment horizontal="center" vertical="center" wrapText="1"/>
    </xf>
    <xf numFmtId="43" fontId="3" fillId="2" borderId="3" xfId="19"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3"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169" fontId="3" fillId="2" borderId="1" xfId="0" applyNumberFormat="1" applyFont="1" applyFill="1" applyBorder="1" applyAlignment="1">
      <alignment horizontal="center" vertical="center" wrapText="1"/>
    </xf>
    <xf numFmtId="169" fontId="15" fillId="2" borderId="1"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 fillId="2" borderId="0" xfId="3" applyFont="1" applyFill="1" applyAlignment="1">
      <alignment horizontal="center" wrapText="1"/>
    </xf>
    <xf numFmtId="0" fontId="0" fillId="2" borderId="0" xfId="0" applyFill="1" applyAlignment="1"/>
    <xf numFmtId="0" fontId="3" fillId="2" borderId="2"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0" xfId="0" applyFont="1" applyFill="1" applyAlignment="1">
      <alignment horizontal="center" vertical="center" wrapText="1"/>
    </xf>
  </cellXfs>
  <cellStyles count="20">
    <cellStyle name="Excel Built-in Normal" xfId="5"/>
    <cellStyle name="Excel Built-in Normal 1" xfId="11"/>
    <cellStyle name="Excel Built-in Normal 2" xfId="14"/>
    <cellStyle name="Excel Built-in Normal 3" xfId="16"/>
    <cellStyle name="Обычный" xfId="0" builtinId="0"/>
    <cellStyle name="Обычный 2" xfId="7"/>
    <cellStyle name="Обычный 2 2" xfId="8"/>
    <cellStyle name="Обычный 2 2 2" xfId="4"/>
    <cellStyle name="Обычный 2 2 3" xfId="18"/>
    <cellStyle name="Обычный 3" xfId="15"/>
    <cellStyle name="Обычный 3 2" xfId="17"/>
    <cellStyle name="Обычный_ведомственная  и прилож. на 2008 год без краевых-2" xfId="9"/>
    <cellStyle name="Обычный_ведомственная  и прилож. на 2008 год без краевых-2 2" xfId="12"/>
    <cellStyle name="Обычный_ведомственная  и прилож. на 2008 год без краевых-2 2 2" xfId="6"/>
    <cellStyle name="Обычный_Приложение № 2 к проекту бюджета" xfId="1"/>
    <cellStyle name="Обычный_расчеты к бю.джету1" xfId="2"/>
    <cellStyle name="Обычный_Функциональная структура расходов бюджета на 2005 год" xfId="3"/>
    <cellStyle name="Финансовый" xfId="19" builtinId="3"/>
    <cellStyle name="Финансовый [0]" xfId="13" builtinId="6"/>
    <cellStyle name="Финансовый 2" xfId="10"/>
  </cellStyles>
  <dxfs count="0"/>
  <tableStyles count="0" defaultTableStyle="TableStyleMedium2" defaultPivotStyle="PivotStyleMedium9"/>
  <colors>
    <mruColors>
      <color rgb="FFF6FED8"/>
      <color rgb="FFFFFFCC"/>
      <color rgb="FFFFFF99"/>
      <color rgb="FFFFCCCC"/>
      <color rgb="FFCCECFF"/>
      <color rgb="FFDB8DBF"/>
      <color rgb="FFB00000"/>
      <color rgb="FF95C4D3"/>
      <color rgb="FF540000"/>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J141"/>
  <sheetViews>
    <sheetView zoomScale="80" zoomScaleNormal="80" zoomScaleSheetLayoutView="50" workbookViewId="0">
      <selection activeCell="L7" sqref="L7"/>
    </sheetView>
  </sheetViews>
  <sheetFormatPr defaultColWidth="9.109375" defaultRowHeight="18" x14ac:dyDescent="0.35"/>
  <cols>
    <col min="1" max="1" width="29.5546875" style="195" customWidth="1"/>
    <col min="2" max="2" width="60.109375" style="257" customWidth="1"/>
    <col min="3" max="3" width="15.33203125" style="193" customWidth="1"/>
    <col min="4" max="4" width="16.6640625" style="195" customWidth="1"/>
    <col min="5" max="5" width="15.6640625" style="195" customWidth="1"/>
    <col min="6" max="6" width="9.109375" style="195"/>
    <col min="7" max="11" width="0" style="195" hidden="1" customWidth="1"/>
    <col min="12" max="16384" width="9.109375" style="195"/>
  </cols>
  <sheetData>
    <row r="1" spans="1:5" s="204" customFormat="1" x14ac:dyDescent="0.35">
      <c r="A1" s="40"/>
      <c r="B1" s="40"/>
      <c r="E1" s="158" t="s">
        <v>481</v>
      </c>
    </row>
    <row r="2" spans="1:5" s="204" customFormat="1" x14ac:dyDescent="0.35">
      <c r="A2" s="40"/>
      <c r="B2" s="40"/>
      <c r="E2" s="158" t="s">
        <v>697</v>
      </c>
    </row>
    <row r="3" spans="1:5" s="204" customFormat="1" x14ac:dyDescent="0.35">
      <c r="A3" s="40"/>
      <c r="B3" s="40"/>
      <c r="E3" s="158"/>
    </row>
    <row r="4" spans="1:5" s="204" customFormat="1" x14ac:dyDescent="0.35">
      <c r="A4" s="40"/>
      <c r="B4" s="40"/>
      <c r="E4" s="158" t="s">
        <v>481</v>
      </c>
    </row>
    <row r="5" spans="1:5" s="204" customFormat="1" x14ac:dyDescent="0.35">
      <c r="A5" s="40"/>
      <c r="B5" s="40"/>
      <c r="E5" s="158" t="s">
        <v>630</v>
      </c>
    </row>
    <row r="6" spans="1:5" s="204" customFormat="1" x14ac:dyDescent="0.35">
      <c r="A6" s="40"/>
      <c r="B6" s="40"/>
      <c r="E6" s="158"/>
    </row>
    <row r="8" spans="1:5" ht="11.25" customHeight="1" x14ac:dyDescent="0.35"/>
    <row r="9" spans="1:5" ht="36.75" customHeight="1" x14ac:dyDescent="0.35">
      <c r="A9" s="684" t="s">
        <v>567</v>
      </c>
      <c r="B9" s="684"/>
      <c r="C9" s="684"/>
      <c r="D9" s="684"/>
      <c r="E9" s="684"/>
    </row>
    <row r="11" spans="1:5" x14ac:dyDescent="0.35">
      <c r="E11" s="187" t="s">
        <v>21</v>
      </c>
    </row>
    <row r="12" spans="1:5" ht="20.399999999999999" customHeight="1" x14ac:dyDescent="0.35">
      <c r="A12" s="686" t="s">
        <v>13</v>
      </c>
      <c r="B12" s="688" t="s">
        <v>14</v>
      </c>
      <c r="C12" s="681" t="s">
        <v>15</v>
      </c>
      <c r="D12" s="682"/>
      <c r="E12" s="683"/>
    </row>
    <row r="13" spans="1:5" ht="20.399999999999999" customHeight="1" x14ac:dyDescent="0.35">
      <c r="A13" s="687"/>
      <c r="B13" s="689"/>
      <c r="C13" s="188" t="s">
        <v>477</v>
      </c>
      <c r="D13" s="188" t="s">
        <v>527</v>
      </c>
      <c r="E13" s="188" t="s">
        <v>568</v>
      </c>
    </row>
    <row r="14" spans="1:5" x14ac:dyDescent="0.35">
      <c r="A14" s="274">
        <v>1</v>
      </c>
      <c r="B14" s="275">
        <v>2</v>
      </c>
      <c r="C14" s="189">
        <v>3</v>
      </c>
      <c r="D14" s="278">
        <v>4</v>
      </c>
      <c r="E14" s="278">
        <v>5</v>
      </c>
    </row>
    <row r="15" spans="1:5" x14ac:dyDescent="0.35">
      <c r="A15" s="73" t="s">
        <v>132</v>
      </c>
      <c r="B15" s="74" t="s">
        <v>133</v>
      </c>
      <c r="C15" s="301">
        <f>C16+C17+C18+C19+C20+C21+C22+C23+C24+C25+C31+C32+C33+C34</f>
        <v>710750.8</v>
      </c>
      <c r="D15" s="301">
        <f>D16+D17+D18+D19+D20+D21+D22+D23+D24+D25+D31+D32+D33+D34</f>
        <v>732292.8</v>
      </c>
      <c r="E15" s="301">
        <f>E16+E17+E18+E19+E20+E21+E22+E23+E24+E25+E31+E32+E33+E34</f>
        <v>738943.39999999991</v>
      </c>
    </row>
    <row r="16" spans="1:5" x14ac:dyDescent="0.35">
      <c r="A16" s="43" t="s">
        <v>134</v>
      </c>
      <c r="B16" s="67" t="s">
        <v>135</v>
      </c>
      <c r="C16" s="302">
        <v>6763</v>
      </c>
      <c r="D16" s="303">
        <v>7238</v>
      </c>
      <c r="E16" s="304">
        <v>7764</v>
      </c>
    </row>
    <row r="17" spans="1:5" x14ac:dyDescent="0.35">
      <c r="A17" s="55" t="s">
        <v>136</v>
      </c>
      <c r="B17" s="75" t="s">
        <v>137</v>
      </c>
      <c r="C17" s="302">
        <v>406654.5</v>
      </c>
      <c r="D17" s="303">
        <v>420756.9</v>
      </c>
      <c r="E17" s="304">
        <v>407648.8</v>
      </c>
    </row>
    <row r="18" spans="1:5" ht="163.19999999999999" customHeight="1" x14ac:dyDescent="0.35">
      <c r="A18" s="41" t="s">
        <v>138</v>
      </c>
      <c r="B18" s="76" t="s">
        <v>464</v>
      </c>
      <c r="C18" s="305">
        <v>6844.9</v>
      </c>
      <c r="D18" s="306">
        <v>7183.4</v>
      </c>
      <c r="E18" s="196">
        <v>7472.6</v>
      </c>
    </row>
    <row r="19" spans="1:5" ht="36" x14ac:dyDescent="0.35">
      <c r="A19" s="43" t="s">
        <v>305</v>
      </c>
      <c r="B19" s="68" t="s">
        <v>306</v>
      </c>
      <c r="C19" s="305">
        <f>177309+8000</f>
        <v>185309</v>
      </c>
      <c r="D19" s="306">
        <v>189257</v>
      </c>
      <c r="E19" s="196">
        <v>202299</v>
      </c>
    </row>
    <row r="20" spans="1:5" ht="36" x14ac:dyDescent="0.35">
      <c r="A20" s="43" t="s">
        <v>139</v>
      </c>
      <c r="B20" s="68" t="s">
        <v>324</v>
      </c>
      <c r="C20" s="305">
        <v>80</v>
      </c>
      <c r="D20" s="306">
        <v>70</v>
      </c>
      <c r="E20" s="196">
        <v>60</v>
      </c>
    </row>
    <row r="21" spans="1:5" x14ac:dyDescent="0.35">
      <c r="A21" s="43" t="s">
        <v>140</v>
      </c>
      <c r="B21" s="75" t="s">
        <v>141</v>
      </c>
      <c r="C21" s="305">
        <v>217</v>
      </c>
      <c r="D21" s="306">
        <v>232</v>
      </c>
      <c r="E21" s="196">
        <v>249</v>
      </c>
    </row>
    <row r="22" spans="1:5" ht="36" x14ac:dyDescent="0.35">
      <c r="A22" s="43" t="s">
        <v>142</v>
      </c>
      <c r="B22" s="68" t="s">
        <v>143</v>
      </c>
      <c r="C22" s="305">
        <v>26241</v>
      </c>
      <c r="D22" s="306">
        <v>28082</v>
      </c>
      <c r="E22" s="196">
        <v>30124</v>
      </c>
    </row>
    <row r="23" spans="1:5" x14ac:dyDescent="0.35">
      <c r="A23" s="43" t="s">
        <v>418</v>
      </c>
      <c r="B23" s="68" t="s">
        <v>419</v>
      </c>
      <c r="C23" s="305">
        <v>3913.8</v>
      </c>
      <c r="D23" s="306">
        <v>3917.7</v>
      </c>
      <c r="E23" s="196">
        <v>3921.7</v>
      </c>
    </row>
    <row r="24" spans="1:5" x14ac:dyDescent="0.35">
      <c r="A24" s="43" t="s">
        <v>144</v>
      </c>
      <c r="B24" s="75" t="s">
        <v>145</v>
      </c>
      <c r="C24" s="305">
        <v>11681</v>
      </c>
      <c r="D24" s="306">
        <v>12498</v>
      </c>
      <c r="E24" s="196">
        <v>13371</v>
      </c>
    </row>
    <row r="25" spans="1:5" ht="54.75" customHeight="1" x14ac:dyDescent="0.35">
      <c r="A25" s="43" t="s">
        <v>469</v>
      </c>
      <c r="B25" s="68" t="s">
        <v>470</v>
      </c>
      <c r="C25" s="305">
        <f>SUM(C26:C30)</f>
        <v>42311.3</v>
      </c>
      <c r="D25" s="305">
        <f t="shared" ref="D25:E25" si="0">SUM(D26:D30)</f>
        <v>45258.000000000007</v>
      </c>
      <c r="E25" s="305">
        <f t="shared" si="0"/>
        <v>47603.000000000007</v>
      </c>
    </row>
    <row r="26" spans="1:5" ht="78" customHeight="1" x14ac:dyDescent="0.35">
      <c r="A26" s="43" t="s">
        <v>146</v>
      </c>
      <c r="B26" s="67" t="s">
        <v>471</v>
      </c>
      <c r="C26" s="305">
        <f>465+285</f>
        <v>750</v>
      </c>
      <c r="D26" s="305">
        <f t="shared" ref="D26:E26" si="1">465+285</f>
        <v>750</v>
      </c>
      <c r="E26" s="305">
        <f t="shared" si="1"/>
        <v>750</v>
      </c>
    </row>
    <row r="27" spans="1:5" ht="54" x14ac:dyDescent="0.35">
      <c r="A27" s="43" t="s">
        <v>622</v>
      </c>
      <c r="B27" s="67" t="s">
        <v>623</v>
      </c>
      <c r="C27" s="305">
        <v>31.1</v>
      </c>
      <c r="D27" s="305">
        <v>0</v>
      </c>
      <c r="E27" s="305">
        <v>0</v>
      </c>
    </row>
    <row r="28" spans="1:5" ht="90" x14ac:dyDescent="0.35">
      <c r="A28" s="43" t="s">
        <v>147</v>
      </c>
      <c r="B28" s="68" t="s">
        <v>472</v>
      </c>
      <c r="C28" s="305">
        <v>40672</v>
      </c>
      <c r="D28" s="306">
        <v>43649.8</v>
      </c>
      <c r="E28" s="196">
        <v>45994.8</v>
      </c>
    </row>
    <row r="29" spans="1:5" ht="59.4" customHeight="1" x14ac:dyDescent="0.35">
      <c r="A29" s="43" t="s">
        <v>304</v>
      </c>
      <c r="B29" s="68" t="s">
        <v>473</v>
      </c>
      <c r="C29" s="305">
        <v>591.4</v>
      </c>
      <c r="D29" s="306">
        <v>591.4</v>
      </c>
      <c r="E29" s="196">
        <v>591.4</v>
      </c>
    </row>
    <row r="30" spans="1:5" ht="108" x14ac:dyDescent="0.35">
      <c r="A30" s="43" t="s">
        <v>343</v>
      </c>
      <c r="B30" s="68" t="s">
        <v>474</v>
      </c>
      <c r="C30" s="305">
        <v>266.8</v>
      </c>
      <c r="D30" s="305">
        <v>266.8</v>
      </c>
      <c r="E30" s="305">
        <v>266.8</v>
      </c>
    </row>
    <row r="31" spans="1:5" ht="36" x14ac:dyDescent="0.35">
      <c r="A31" s="43" t="s">
        <v>148</v>
      </c>
      <c r="B31" s="68" t="s">
        <v>149</v>
      </c>
      <c r="C31" s="305">
        <v>75.900000000000006</v>
      </c>
      <c r="D31" s="306">
        <v>78.900000000000006</v>
      </c>
      <c r="E31" s="196">
        <v>82.1</v>
      </c>
    </row>
    <row r="32" spans="1:5" ht="36" x14ac:dyDescent="0.35">
      <c r="A32" s="43" t="s">
        <v>382</v>
      </c>
      <c r="B32" s="206" t="s">
        <v>400</v>
      </c>
      <c r="C32" s="305">
        <f>3255.3+47.9</f>
        <v>3303.2000000000003</v>
      </c>
      <c r="D32" s="306">
        <v>1583</v>
      </c>
      <c r="E32" s="196">
        <v>1583</v>
      </c>
    </row>
    <row r="33" spans="1:10" ht="36" x14ac:dyDescent="0.35">
      <c r="A33" s="43" t="s">
        <v>150</v>
      </c>
      <c r="B33" s="68" t="s">
        <v>151</v>
      </c>
      <c r="C33" s="305">
        <v>10755.7</v>
      </c>
      <c r="D33" s="306">
        <v>11047</v>
      </c>
      <c r="E33" s="196">
        <v>11378.3</v>
      </c>
    </row>
    <row r="34" spans="1:10" x14ac:dyDescent="0.35">
      <c r="A34" s="41" t="s">
        <v>152</v>
      </c>
      <c r="B34" s="68" t="s">
        <v>153</v>
      </c>
      <c r="C34" s="305">
        <f>4631.6+2000-31.1</f>
        <v>6600.5</v>
      </c>
      <c r="D34" s="306">
        <v>5090.8999999999996</v>
      </c>
      <c r="E34" s="196">
        <v>5386.9</v>
      </c>
    </row>
    <row r="35" spans="1:10" x14ac:dyDescent="0.35">
      <c r="A35" s="90" t="s">
        <v>16</v>
      </c>
      <c r="B35" s="219" t="s">
        <v>307</v>
      </c>
      <c r="C35" s="190">
        <f>C36+C42+C41-C46-C45-C44-C43</f>
        <v>1624422.3650899997</v>
      </c>
      <c r="D35" s="190">
        <f>D36</f>
        <v>1347267.5999999996</v>
      </c>
      <c r="E35" s="190">
        <f t="shared" ref="E35" si="2">E36</f>
        <v>1409471.5999999996</v>
      </c>
    </row>
    <row r="36" spans="1:10" ht="36.75" customHeight="1" x14ac:dyDescent="0.35">
      <c r="A36" s="84" t="s">
        <v>17</v>
      </c>
      <c r="B36" s="220" t="s">
        <v>18</v>
      </c>
      <c r="C36" s="304">
        <f>C37+C38+C39+C40</f>
        <v>1630880.0999999996</v>
      </c>
      <c r="D36" s="304">
        <f>D37+D38+D39+D40</f>
        <v>1347267.5999999996</v>
      </c>
      <c r="E36" s="304">
        <f>E37+E38+E39+E40</f>
        <v>1409471.5999999996</v>
      </c>
    </row>
    <row r="37" spans="1:10" s="222" customFormat="1" ht="36" x14ac:dyDescent="0.35">
      <c r="A37" s="84" t="s">
        <v>392</v>
      </c>
      <c r="B37" s="221" t="s">
        <v>339</v>
      </c>
      <c r="C37" s="304">
        <f>'прил.2(пост.безв.24)'!C16</f>
        <v>278356.3</v>
      </c>
      <c r="D37" s="304">
        <f>'прил.3 (пост.безв.25-26)'!C16</f>
        <v>201131.1</v>
      </c>
      <c r="E37" s="304">
        <f>'прил.3 (пост.безв.25-26)'!D16</f>
        <v>219959.6</v>
      </c>
    </row>
    <row r="38" spans="1:10" s="222" customFormat="1" ht="39" customHeight="1" x14ac:dyDescent="0.35">
      <c r="A38" s="16" t="s">
        <v>394</v>
      </c>
      <c r="B38" s="207" t="s">
        <v>302</v>
      </c>
      <c r="C38" s="304">
        <f>'прил.2(пост.безв.24)'!C21</f>
        <v>283407.59999999998</v>
      </c>
      <c r="D38" s="304">
        <f>'прил.3 (пост.безв.25-26)'!C19</f>
        <v>76858.100000000006</v>
      </c>
      <c r="E38" s="304">
        <f>'прил.3 (пост.безв.25-26)'!D19</f>
        <v>76267.8</v>
      </c>
    </row>
    <row r="39" spans="1:10" ht="36" x14ac:dyDescent="0.35">
      <c r="A39" s="258" t="s">
        <v>396</v>
      </c>
      <c r="B39" s="221" t="s">
        <v>338</v>
      </c>
      <c r="C39" s="304">
        <f>'прил.2(пост.безв.24)'!C43</f>
        <v>1057631.9999999998</v>
      </c>
      <c r="D39" s="304">
        <f>'прил.3 (пост.безв.25-26)'!C31</f>
        <v>1069278.3999999997</v>
      </c>
      <c r="E39" s="304">
        <f>'прил.3 (пост.безв.25-26)'!D31</f>
        <v>1113244.1999999997</v>
      </c>
    </row>
    <row r="40" spans="1:10" x14ac:dyDescent="0.35">
      <c r="A40" s="84" t="s">
        <v>402</v>
      </c>
      <c r="B40" s="220" t="s">
        <v>154</v>
      </c>
      <c r="C40" s="191">
        <v>11484.2</v>
      </c>
      <c r="D40" s="191">
        <v>0</v>
      </c>
      <c r="E40" s="191">
        <v>0</v>
      </c>
    </row>
    <row r="41" spans="1:10" ht="54" x14ac:dyDescent="0.35">
      <c r="A41" s="84" t="s">
        <v>640</v>
      </c>
      <c r="B41" s="220" t="s">
        <v>641</v>
      </c>
      <c r="C41" s="304">
        <v>161.82245</v>
      </c>
      <c r="D41" s="191">
        <v>0</v>
      </c>
      <c r="E41" s="191">
        <v>0</v>
      </c>
    </row>
    <row r="42" spans="1:10" ht="90" x14ac:dyDescent="0.35">
      <c r="A42" s="329" t="s">
        <v>633</v>
      </c>
      <c r="B42" s="639" t="s">
        <v>634</v>
      </c>
      <c r="C42" s="191">
        <v>118.10905</v>
      </c>
      <c r="D42" s="191">
        <v>0</v>
      </c>
      <c r="E42" s="191">
        <v>0</v>
      </c>
    </row>
    <row r="43" spans="1:10" ht="90" x14ac:dyDescent="0.35">
      <c r="A43" s="329" t="s">
        <v>643</v>
      </c>
      <c r="B43" s="655" t="s">
        <v>642</v>
      </c>
      <c r="C43" s="191">
        <v>3158.1342399999999</v>
      </c>
      <c r="D43" s="191">
        <v>0</v>
      </c>
      <c r="E43" s="191">
        <v>0</v>
      </c>
    </row>
    <row r="44" spans="1:10" ht="54" x14ac:dyDescent="0.35">
      <c r="A44" s="329" t="s">
        <v>645</v>
      </c>
      <c r="B44" s="639" t="s">
        <v>644</v>
      </c>
      <c r="C44" s="191">
        <v>235.51748000000001</v>
      </c>
      <c r="D44" s="191">
        <v>0</v>
      </c>
      <c r="E44" s="191">
        <v>0</v>
      </c>
    </row>
    <row r="45" spans="1:10" ht="162" x14ac:dyDescent="0.35">
      <c r="A45" s="329" t="s">
        <v>647</v>
      </c>
      <c r="B45" s="639" t="s">
        <v>646</v>
      </c>
      <c r="C45" s="191">
        <v>622.70707000000004</v>
      </c>
      <c r="D45" s="191">
        <v>0</v>
      </c>
      <c r="E45" s="191">
        <v>0</v>
      </c>
    </row>
    <row r="46" spans="1:10" ht="72" x14ac:dyDescent="0.35">
      <c r="A46" s="329" t="s">
        <v>635</v>
      </c>
      <c r="B46" s="220" t="s">
        <v>636</v>
      </c>
      <c r="C46" s="191">
        <f>260+2.9805+161.82245+1710.38087+0.56994+4.58881+3.16096+349.84189+224.43+0.1432+3.389</f>
        <v>2721.3076200000005</v>
      </c>
      <c r="D46" s="191">
        <v>0</v>
      </c>
      <c r="E46" s="191">
        <v>0</v>
      </c>
      <c r="G46" s="60" t="s">
        <v>637</v>
      </c>
      <c r="H46" s="195" t="s">
        <v>638</v>
      </c>
      <c r="J46" s="195" t="s">
        <v>639</v>
      </c>
    </row>
    <row r="47" spans="1:10" x14ac:dyDescent="0.35">
      <c r="A47" s="259"/>
      <c r="B47" s="219" t="s">
        <v>155</v>
      </c>
      <c r="C47" s="192">
        <f>C35+C15</f>
        <v>2335173.1650899998</v>
      </c>
      <c r="D47" s="192">
        <f>D35+D15</f>
        <v>2079560.3999999997</v>
      </c>
      <c r="E47" s="192">
        <f>E35+E15</f>
        <v>2148414.9999999995</v>
      </c>
    </row>
    <row r="48" spans="1:10" x14ac:dyDescent="0.35">
      <c r="A48" s="316" t="s">
        <v>491</v>
      </c>
      <c r="B48" s="317"/>
      <c r="C48" s="318"/>
      <c r="D48" s="318"/>
      <c r="E48" s="318"/>
    </row>
    <row r="49" spans="1:8" ht="37.5" customHeight="1" x14ac:dyDescent="0.35">
      <c r="A49" s="685" t="s">
        <v>308</v>
      </c>
      <c r="B49" s="685"/>
      <c r="C49" s="685"/>
      <c r="D49" s="685"/>
      <c r="E49" s="685"/>
    </row>
    <row r="50" spans="1:8" x14ac:dyDescent="0.35">
      <c r="A50" s="260"/>
    </row>
    <row r="51" spans="1:8" x14ac:dyDescent="0.35">
      <c r="A51" s="260"/>
    </row>
    <row r="52" spans="1:8" s="80" customFormat="1" x14ac:dyDescent="0.35">
      <c r="A52" s="439" t="s">
        <v>371</v>
      </c>
      <c r="B52" s="81"/>
      <c r="C52" s="82"/>
      <c r="D52" s="82"/>
      <c r="E52" s="82"/>
      <c r="F52" s="47"/>
      <c r="G52" s="110"/>
      <c r="H52" s="149"/>
    </row>
    <row r="53" spans="1:8" s="80" customFormat="1" x14ac:dyDescent="0.35">
      <c r="A53" s="439" t="s">
        <v>372</v>
      </c>
      <c r="B53" s="81"/>
      <c r="C53" s="82"/>
      <c r="D53" s="82"/>
      <c r="E53" s="82"/>
      <c r="F53" s="47"/>
      <c r="G53" s="110"/>
      <c r="H53" s="149"/>
    </row>
    <row r="54" spans="1:8" s="80" customFormat="1" x14ac:dyDescent="0.35">
      <c r="A54" s="614" t="s">
        <v>373</v>
      </c>
      <c r="B54" s="81"/>
      <c r="D54" s="82"/>
      <c r="E54" s="111" t="s">
        <v>383</v>
      </c>
      <c r="F54" s="47"/>
    </row>
    <row r="56" spans="1:8" x14ac:dyDescent="0.35">
      <c r="B56" s="261"/>
      <c r="C56" s="194"/>
    </row>
    <row r="57" spans="1:8" x14ac:dyDescent="0.35">
      <c r="B57" s="261"/>
      <c r="C57" s="194"/>
    </row>
    <row r="64" spans="1:8" x14ac:dyDescent="0.35">
      <c r="B64" s="195"/>
      <c r="C64" s="195"/>
    </row>
    <row r="65" spans="2:3" x14ac:dyDescent="0.35">
      <c r="B65" s="195"/>
      <c r="C65" s="195"/>
    </row>
    <row r="66" spans="2:3" x14ac:dyDescent="0.35">
      <c r="B66" s="195"/>
      <c r="C66" s="195"/>
    </row>
    <row r="67" spans="2:3" x14ac:dyDescent="0.35">
      <c r="B67" s="195"/>
      <c r="C67" s="195"/>
    </row>
    <row r="68" spans="2:3" x14ac:dyDescent="0.35">
      <c r="B68" s="195"/>
      <c r="C68" s="195"/>
    </row>
    <row r="69" spans="2:3" x14ac:dyDescent="0.35">
      <c r="B69" s="195"/>
      <c r="C69" s="195"/>
    </row>
    <row r="70" spans="2:3" x14ac:dyDescent="0.35">
      <c r="B70" s="195"/>
      <c r="C70" s="195"/>
    </row>
    <row r="71" spans="2:3" x14ac:dyDescent="0.35">
      <c r="B71" s="195"/>
      <c r="C71" s="195"/>
    </row>
    <row r="72" spans="2:3" x14ac:dyDescent="0.35">
      <c r="B72" s="195"/>
      <c r="C72" s="195"/>
    </row>
    <row r="73" spans="2:3" x14ac:dyDescent="0.35">
      <c r="B73" s="195"/>
      <c r="C73" s="195"/>
    </row>
    <row r="74" spans="2:3" x14ac:dyDescent="0.35">
      <c r="B74" s="195"/>
      <c r="C74" s="195"/>
    </row>
    <row r="75" spans="2:3" x14ac:dyDescent="0.35">
      <c r="B75" s="195"/>
      <c r="C75" s="195"/>
    </row>
    <row r="76" spans="2:3" x14ac:dyDescent="0.35">
      <c r="B76" s="195"/>
      <c r="C76" s="195"/>
    </row>
    <row r="77" spans="2:3" x14ac:dyDescent="0.35">
      <c r="B77" s="195"/>
      <c r="C77" s="195"/>
    </row>
    <row r="78" spans="2:3" x14ac:dyDescent="0.35">
      <c r="B78" s="195"/>
      <c r="C78" s="195"/>
    </row>
    <row r="79" spans="2:3" x14ac:dyDescent="0.35">
      <c r="B79" s="195"/>
      <c r="C79" s="195"/>
    </row>
    <row r="80" spans="2:3" x14ac:dyDescent="0.35">
      <c r="B80" s="195"/>
      <c r="C80" s="195"/>
    </row>
    <row r="81" spans="2:3" x14ac:dyDescent="0.35">
      <c r="B81" s="195"/>
      <c r="C81" s="195"/>
    </row>
    <row r="82" spans="2:3" x14ac:dyDescent="0.35">
      <c r="B82" s="195"/>
      <c r="C82" s="195"/>
    </row>
    <row r="83" spans="2:3" x14ac:dyDescent="0.35">
      <c r="B83" s="195"/>
      <c r="C83" s="195"/>
    </row>
    <row r="84" spans="2:3" x14ac:dyDescent="0.35">
      <c r="B84" s="195"/>
      <c r="C84" s="195"/>
    </row>
    <row r="85" spans="2:3" x14ac:dyDescent="0.35">
      <c r="B85" s="195"/>
      <c r="C85" s="195"/>
    </row>
    <row r="86" spans="2:3" x14ac:dyDescent="0.35">
      <c r="B86" s="195"/>
      <c r="C86" s="195"/>
    </row>
    <row r="87" spans="2:3" x14ac:dyDescent="0.35">
      <c r="B87" s="195"/>
      <c r="C87" s="195"/>
    </row>
    <row r="88" spans="2:3" x14ac:dyDescent="0.35">
      <c r="B88" s="195"/>
      <c r="C88" s="195"/>
    </row>
    <row r="89" spans="2:3" x14ac:dyDescent="0.35">
      <c r="B89" s="195"/>
      <c r="C89" s="195"/>
    </row>
    <row r="90" spans="2:3" x14ac:dyDescent="0.35">
      <c r="B90" s="195"/>
      <c r="C90" s="195"/>
    </row>
    <row r="91" spans="2:3" x14ac:dyDescent="0.35">
      <c r="B91" s="195"/>
      <c r="C91" s="195"/>
    </row>
    <row r="92" spans="2:3" x14ac:dyDescent="0.35">
      <c r="B92" s="195"/>
      <c r="C92" s="195"/>
    </row>
    <row r="93" spans="2:3" x14ac:dyDescent="0.35">
      <c r="B93" s="195"/>
      <c r="C93" s="195"/>
    </row>
    <row r="94" spans="2:3" x14ac:dyDescent="0.35">
      <c r="B94" s="195"/>
      <c r="C94" s="195"/>
    </row>
    <row r="95" spans="2:3" x14ac:dyDescent="0.35">
      <c r="B95" s="195"/>
      <c r="C95" s="195"/>
    </row>
    <row r="96" spans="2:3" x14ac:dyDescent="0.35">
      <c r="B96" s="195"/>
      <c r="C96" s="195"/>
    </row>
    <row r="97" spans="2:3" x14ac:dyDescent="0.35">
      <c r="B97" s="195"/>
      <c r="C97" s="195"/>
    </row>
    <row r="98" spans="2:3" x14ac:dyDescent="0.35">
      <c r="B98" s="195"/>
      <c r="C98" s="195"/>
    </row>
    <row r="99" spans="2:3" x14ac:dyDescent="0.35">
      <c r="B99" s="195"/>
      <c r="C99" s="195"/>
    </row>
    <row r="100" spans="2:3" x14ac:dyDescent="0.35">
      <c r="B100" s="195"/>
      <c r="C100" s="195"/>
    </row>
    <row r="101" spans="2:3" x14ac:dyDescent="0.35">
      <c r="B101" s="195"/>
      <c r="C101" s="195"/>
    </row>
    <row r="102" spans="2:3" x14ac:dyDescent="0.35">
      <c r="B102" s="195"/>
      <c r="C102" s="195"/>
    </row>
    <row r="103" spans="2:3" x14ac:dyDescent="0.35">
      <c r="B103" s="195"/>
      <c r="C103" s="195"/>
    </row>
    <row r="104" spans="2:3" x14ac:dyDescent="0.35">
      <c r="B104" s="195"/>
      <c r="C104" s="195"/>
    </row>
    <row r="105" spans="2:3" x14ac:dyDescent="0.35">
      <c r="B105" s="195"/>
      <c r="C105" s="195"/>
    </row>
    <row r="106" spans="2:3" x14ac:dyDescent="0.35">
      <c r="B106" s="195"/>
      <c r="C106" s="195"/>
    </row>
    <row r="107" spans="2:3" x14ac:dyDescent="0.35">
      <c r="B107" s="195"/>
      <c r="C107" s="195"/>
    </row>
    <row r="108" spans="2:3" x14ac:dyDescent="0.35">
      <c r="B108" s="195"/>
      <c r="C108" s="195"/>
    </row>
    <row r="109" spans="2:3" x14ac:dyDescent="0.35">
      <c r="B109" s="195"/>
      <c r="C109" s="195"/>
    </row>
    <row r="110" spans="2:3" x14ac:dyDescent="0.35">
      <c r="B110" s="195"/>
      <c r="C110" s="195"/>
    </row>
    <row r="111" spans="2:3" x14ac:dyDescent="0.35">
      <c r="B111" s="195"/>
      <c r="C111" s="195"/>
    </row>
    <row r="112" spans="2:3" x14ac:dyDescent="0.35">
      <c r="B112" s="195"/>
      <c r="C112" s="195"/>
    </row>
    <row r="113" spans="2:3" x14ac:dyDescent="0.35">
      <c r="B113" s="195"/>
      <c r="C113" s="195"/>
    </row>
    <row r="114" spans="2:3" x14ac:dyDescent="0.35">
      <c r="B114" s="195"/>
      <c r="C114" s="195"/>
    </row>
    <row r="115" spans="2:3" x14ac:dyDescent="0.35">
      <c r="B115" s="195"/>
      <c r="C115" s="195"/>
    </row>
    <row r="116" spans="2:3" x14ac:dyDescent="0.35">
      <c r="B116" s="195"/>
      <c r="C116" s="195"/>
    </row>
    <row r="117" spans="2:3" x14ac:dyDescent="0.35">
      <c r="B117" s="195"/>
      <c r="C117" s="195"/>
    </row>
    <row r="118" spans="2:3" x14ac:dyDescent="0.35">
      <c r="B118" s="195"/>
      <c r="C118" s="195"/>
    </row>
    <row r="119" spans="2:3" x14ac:dyDescent="0.35">
      <c r="B119" s="195"/>
      <c r="C119" s="195"/>
    </row>
    <row r="120" spans="2:3" x14ac:dyDescent="0.35">
      <c r="B120" s="195"/>
      <c r="C120" s="195"/>
    </row>
    <row r="121" spans="2:3" x14ac:dyDescent="0.35">
      <c r="B121" s="195"/>
      <c r="C121" s="195"/>
    </row>
    <row r="122" spans="2:3" x14ac:dyDescent="0.35">
      <c r="B122" s="195"/>
      <c r="C122" s="195"/>
    </row>
    <row r="123" spans="2:3" x14ac:dyDescent="0.35">
      <c r="B123" s="195"/>
      <c r="C123" s="195"/>
    </row>
    <row r="124" spans="2:3" x14ac:dyDescent="0.35">
      <c r="B124" s="195"/>
      <c r="C124" s="195"/>
    </row>
    <row r="125" spans="2:3" x14ac:dyDescent="0.35">
      <c r="B125" s="195"/>
      <c r="C125" s="195"/>
    </row>
    <row r="126" spans="2:3" x14ac:dyDescent="0.35">
      <c r="B126" s="195"/>
      <c r="C126" s="195"/>
    </row>
    <row r="127" spans="2:3" x14ac:dyDescent="0.35">
      <c r="B127" s="195"/>
      <c r="C127" s="195"/>
    </row>
    <row r="128" spans="2:3" x14ac:dyDescent="0.35">
      <c r="B128" s="195"/>
      <c r="C128" s="195"/>
    </row>
    <row r="129" spans="2:3" x14ac:dyDescent="0.35">
      <c r="B129" s="195"/>
      <c r="C129" s="195"/>
    </row>
    <row r="130" spans="2:3" x14ac:dyDescent="0.35">
      <c r="B130" s="195"/>
      <c r="C130" s="195"/>
    </row>
    <row r="131" spans="2:3" x14ac:dyDescent="0.35">
      <c r="B131" s="195"/>
      <c r="C131" s="195"/>
    </row>
    <row r="132" spans="2:3" x14ac:dyDescent="0.35">
      <c r="B132" s="195"/>
      <c r="C132" s="195"/>
    </row>
    <row r="133" spans="2:3" x14ac:dyDescent="0.35">
      <c r="B133" s="195"/>
      <c r="C133" s="195"/>
    </row>
    <row r="134" spans="2:3" x14ac:dyDescent="0.35">
      <c r="B134" s="195"/>
      <c r="C134" s="195"/>
    </row>
    <row r="135" spans="2:3" x14ac:dyDescent="0.35">
      <c r="B135" s="195"/>
      <c r="C135" s="195"/>
    </row>
    <row r="136" spans="2:3" x14ac:dyDescent="0.35">
      <c r="B136" s="195"/>
      <c r="C136" s="195"/>
    </row>
    <row r="137" spans="2:3" x14ac:dyDescent="0.35">
      <c r="B137" s="195"/>
      <c r="C137" s="195"/>
    </row>
    <row r="138" spans="2:3" x14ac:dyDescent="0.35">
      <c r="B138" s="195"/>
      <c r="C138" s="195"/>
    </row>
    <row r="139" spans="2:3" x14ac:dyDescent="0.35">
      <c r="B139" s="195"/>
      <c r="C139" s="195"/>
    </row>
    <row r="140" spans="2:3" x14ac:dyDescent="0.35">
      <c r="B140" s="195"/>
      <c r="C140" s="195"/>
    </row>
    <row r="141" spans="2:3" x14ac:dyDescent="0.35">
      <c r="B141" s="195"/>
      <c r="C141" s="195"/>
    </row>
  </sheetData>
  <mergeCells count="5">
    <mergeCell ref="C12:E12"/>
    <mergeCell ref="A9:E9"/>
    <mergeCell ref="A49:E49"/>
    <mergeCell ref="A12:A13"/>
    <mergeCell ref="B12:B13"/>
  </mergeCells>
  <printOptions horizontalCentered="1"/>
  <pageMargins left="1.1811023622047245" right="0.39370078740157483" top="0.78740157480314965" bottom="0.78740157480314965" header="0.39370078740157483" footer="0.39370078740157483"/>
  <pageSetup paperSize="9" scale="62" fitToHeight="0" orientation="portrait" blackAndWhite="1" errors="blank" r:id="rId1"/>
  <headerFooter differentFirst="1">
    <oddHeader>&amp;C&amp;"Times New Roman,обычный"&amp;12&amp;P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21"/>
  <sheetViews>
    <sheetView tabSelected="1" zoomScaleNormal="100" workbookViewId="0">
      <selection activeCell="G6" sqref="G6"/>
    </sheetView>
  </sheetViews>
  <sheetFormatPr defaultColWidth="8.88671875" defaultRowHeight="18" x14ac:dyDescent="0.35"/>
  <cols>
    <col min="1" max="1" width="65" style="39" customWidth="1"/>
    <col min="2" max="2" width="14.6640625" style="39" customWidth="1"/>
    <col min="3" max="3" width="13.33203125" style="39" customWidth="1"/>
    <col min="4" max="4" width="11" style="39" customWidth="1"/>
    <col min="5" max="16384" width="8.88671875" style="39"/>
  </cols>
  <sheetData>
    <row r="1" spans="1:4" x14ac:dyDescent="0.35">
      <c r="D1" s="158" t="s">
        <v>529</v>
      </c>
    </row>
    <row r="2" spans="1:4" x14ac:dyDescent="0.35">
      <c r="D2" s="158" t="s">
        <v>697</v>
      </c>
    </row>
    <row r="4" spans="1:4" x14ac:dyDescent="0.35">
      <c r="D4" s="158" t="s">
        <v>576</v>
      </c>
    </row>
    <row r="5" spans="1:4" x14ac:dyDescent="0.35">
      <c r="D5" s="158" t="s">
        <v>630</v>
      </c>
    </row>
    <row r="8" spans="1:4" ht="57" customHeight="1" x14ac:dyDescent="0.35">
      <c r="A8" s="750" t="s">
        <v>600</v>
      </c>
      <c r="B8" s="750"/>
      <c r="C8" s="750"/>
      <c r="D8" s="750"/>
    </row>
    <row r="9" spans="1:4" ht="16.95" customHeight="1" x14ac:dyDescent="0.35">
      <c r="A9" s="462"/>
      <c r="B9" s="462"/>
      <c r="C9" s="263"/>
    </row>
    <row r="10" spans="1:4" x14ac:dyDescent="0.35">
      <c r="D10" s="44" t="s">
        <v>21</v>
      </c>
    </row>
    <row r="11" spans="1:4" ht="19.95" customHeight="1" x14ac:dyDescent="0.35">
      <c r="A11" s="693" t="s">
        <v>253</v>
      </c>
      <c r="B11" s="747" t="s">
        <v>15</v>
      </c>
      <c r="C11" s="748"/>
      <c r="D11" s="749"/>
    </row>
    <row r="12" spans="1:4" ht="31.95" customHeight="1" x14ac:dyDescent="0.35">
      <c r="A12" s="694"/>
      <c r="B12" s="327" t="s">
        <v>477</v>
      </c>
      <c r="C12" s="327" t="s">
        <v>527</v>
      </c>
      <c r="D12" s="327" t="s">
        <v>568</v>
      </c>
    </row>
    <row r="13" spans="1:4" x14ac:dyDescent="0.35">
      <c r="A13" s="55">
        <v>1</v>
      </c>
      <c r="B13" s="55">
        <v>2</v>
      </c>
      <c r="C13" s="55">
        <v>3</v>
      </c>
      <c r="D13" s="55">
        <v>4</v>
      </c>
    </row>
    <row r="14" spans="1:4" ht="22.95" customHeight="1" x14ac:dyDescent="0.35">
      <c r="A14" s="264" t="s">
        <v>309</v>
      </c>
      <c r="B14" s="265">
        <f>SUM(B15:B16)</f>
        <v>48976.9</v>
      </c>
      <c r="C14" s="265">
        <f>SUM(C15:C16)</f>
        <v>9000</v>
      </c>
      <c r="D14" s="265">
        <f>SUM(D15:D16)</f>
        <v>9000</v>
      </c>
    </row>
    <row r="15" spans="1:4" ht="36" x14ac:dyDescent="0.35">
      <c r="A15" s="206" t="s">
        <v>254</v>
      </c>
      <c r="B15" s="252">
        <f>'прил8 (ведом 24)'!M257</f>
        <v>9000</v>
      </c>
      <c r="C15" s="252">
        <f>'прил9 (ведом 25-26)'!M196</f>
        <v>9000</v>
      </c>
      <c r="D15" s="252">
        <f>'прил9 (ведом 25-26)'!N196</f>
        <v>9000</v>
      </c>
    </row>
    <row r="16" spans="1:4" ht="36" x14ac:dyDescent="0.35">
      <c r="A16" s="266" t="s">
        <v>421</v>
      </c>
      <c r="B16" s="252">
        <f>'прил8 (ведом 24)'!M104+'прил8 (ведом 24)'!M106+'прил8 (ведом 24)'!M114+'прил8 (ведом 24)'!M213+'прил8 (ведом 24)'!M217+'прил8 (ведом 24)'!M263</f>
        <v>39976.9</v>
      </c>
      <c r="C16" s="252">
        <v>0</v>
      </c>
      <c r="D16" s="252">
        <v>0</v>
      </c>
    </row>
    <row r="19" spans="1:8" s="2" customFormat="1" x14ac:dyDescent="0.35">
      <c r="A19" s="276" t="s">
        <v>371</v>
      </c>
      <c r="B19" s="3"/>
      <c r="C19" s="4"/>
      <c r="D19" s="4"/>
      <c r="E19" s="4"/>
      <c r="F19" s="5"/>
    </row>
    <row r="20" spans="1:8" s="2" customFormat="1" x14ac:dyDescent="0.35">
      <c r="A20" s="276" t="s">
        <v>372</v>
      </c>
      <c r="B20" s="3"/>
      <c r="C20" s="4"/>
      <c r="D20" s="4"/>
      <c r="E20" s="4"/>
      <c r="F20" s="5"/>
    </row>
    <row r="21" spans="1:8" s="2" customFormat="1" x14ac:dyDescent="0.35">
      <c r="A21" s="277" t="s">
        <v>373</v>
      </c>
      <c r="D21" s="4" t="s">
        <v>383</v>
      </c>
      <c r="E21" s="4"/>
      <c r="H21" s="1"/>
    </row>
  </sheetData>
  <mergeCells count="3">
    <mergeCell ref="B11:D11"/>
    <mergeCell ref="A11:A12"/>
    <mergeCell ref="A8:D8"/>
  </mergeCells>
  <printOptions horizontalCentered="1"/>
  <pageMargins left="1.1811023622047245" right="0.39370078740157483" top="0.78740157480314965" bottom="0.78740157480314965" header="0.31496062992125984" footer="0.31496062992125984"/>
  <pageSetup paperSize="9" scale="81"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416"/>
  <sheetViews>
    <sheetView zoomScale="80" zoomScaleNormal="80" zoomScaleSheetLayoutView="80" workbookViewId="0">
      <selection activeCell="G8" sqref="G8"/>
    </sheetView>
  </sheetViews>
  <sheetFormatPr defaultColWidth="8.88671875" defaultRowHeight="18" x14ac:dyDescent="0.35"/>
  <cols>
    <col min="1" max="1" width="28.109375" style="65" customWidth="1"/>
    <col min="2" max="2" width="72.6640625" style="65" customWidth="1"/>
    <col min="3" max="3" width="15" style="64" customWidth="1"/>
    <col min="4" max="4" width="7.6640625" style="39" customWidth="1"/>
    <col min="5" max="16384" width="8.88671875" style="39"/>
  </cols>
  <sheetData>
    <row r="1" spans="1:3" s="195" customFormat="1" x14ac:dyDescent="0.35">
      <c r="B1" s="257"/>
      <c r="C1" s="44" t="s">
        <v>482</v>
      </c>
    </row>
    <row r="2" spans="1:3" s="195" customFormat="1" x14ac:dyDescent="0.35">
      <c r="B2" s="257"/>
      <c r="C2" s="158" t="s">
        <v>697</v>
      </c>
    </row>
    <row r="4" spans="1:3" s="195" customFormat="1" x14ac:dyDescent="0.35">
      <c r="B4" s="257"/>
      <c r="C4" s="44" t="s">
        <v>482</v>
      </c>
    </row>
    <row r="5" spans="1:3" s="195" customFormat="1" x14ac:dyDescent="0.35">
      <c r="B5" s="257"/>
      <c r="C5" s="158" t="s">
        <v>630</v>
      </c>
    </row>
    <row r="6" spans="1:3" s="195" customFormat="1" x14ac:dyDescent="0.35">
      <c r="B6" s="257"/>
      <c r="C6" s="158"/>
    </row>
    <row r="8" spans="1:3" ht="15.75" customHeight="1" x14ac:dyDescent="0.35"/>
    <row r="9" spans="1:3" ht="44.25" customHeight="1" x14ac:dyDescent="0.35">
      <c r="A9" s="690" t="s">
        <v>587</v>
      </c>
      <c r="B9" s="690"/>
      <c r="C9" s="690"/>
    </row>
    <row r="10" spans="1:3" x14ac:dyDescent="0.35">
      <c r="A10" s="66"/>
      <c r="B10" s="66"/>
      <c r="C10" s="52"/>
    </row>
    <row r="11" spans="1:3" x14ac:dyDescent="0.35">
      <c r="C11" s="53" t="s">
        <v>21</v>
      </c>
    </row>
    <row r="12" spans="1:3" x14ac:dyDescent="0.35">
      <c r="A12" s="43" t="s">
        <v>13</v>
      </c>
      <c r="B12" s="43" t="s">
        <v>14</v>
      </c>
      <c r="C12" s="54" t="s">
        <v>15</v>
      </c>
    </row>
    <row r="13" spans="1:3" x14ac:dyDescent="0.35">
      <c r="A13" s="43">
        <v>1</v>
      </c>
      <c r="B13" s="43">
        <v>2</v>
      </c>
      <c r="C13" s="56">
        <v>3</v>
      </c>
    </row>
    <row r="14" spans="1:3" ht="23.4" customHeight="1" x14ac:dyDescent="0.35">
      <c r="A14" s="45" t="s">
        <v>16</v>
      </c>
      <c r="B14" s="57" t="s">
        <v>307</v>
      </c>
      <c r="C14" s="58">
        <f>C15</f>
        <v>1630880.0999999999</v>
      </c>
    </row>
    <row r="15" spans="1:3" ht="38.4" customHeight="1" x14ac:dyDescent="0.35">
      <c r="A15" s="43" t="s">
        <v>17</v>
      </c>
      <c r="B15" s="67" t="s">
        <v>18</v>
      </c>
      <c r="C15" s="70">
        <f>C16+C43+C21+C73</f>
        <v>1630880.0999999999</v>
      </c>
    </row>
    <row r="16" spans="1:3" ht="22.2" customHeight="1" x14ac:dyDescent="0.35">
      <c r="A16" s="43" t="s">
        <v>392</v>
      </c>
      <c r="B16" s="67" t="s">
        <v>336</v>
      </c>
      <c r="C16" s="70">
        <f>C17+C19</f>
        <v>278356.3</v>
      </c>
    </row>
    <row r="17" spans="1:3" ht="21.6" customHeight="1" x14ac:dyDescent="0.35">
      <c r="A17" s="43" t="s">
        <v>393</v>
      </c>
      <c r="B17" s="67" t="s">
        <v>19</v>
      </c>
      <c r="C17" s="70">
        <f>C18</f>
        <v>251413.9</v>
      </c>
    </row>
    <row r="18" spans="1:3" ht="54.75" customHeight="1" x14ac:dyDescent="0.35">
      <c r="A18" s="43" t="s">
        <v>389</v>
      </c>
      <c r="B18" s="67" t="s">
        <v>420</v>
      </c>
      <c r="C18" s="70">
        <v>251413.9</v>
      </c>
    </row>
    <row r="19" spans="1:3" x14ac:dyDescent="0.35">
      <c r="A19" s="43" t="s">
        <v>674</v>
      </c>
      <c r="B19" s="67" t="s">
        <v>675</v>
      </c>
      <c r="C19" s="70">
        <f>C20</f>
        <v>26942.400000000001</v>
      </c>
    </row>
    <row r="20" spans="1:3" x14ac:dyDescent="0.35">
      <c r="A20" s="43" t="s">
        <v>676</v>
      </c>
      <c r="B20" s="67" t="s">
        <v>677</v>
      </c>
      <c r="C20" s="70">
        <v>26942.400000000001</v>
      </c>
    </row>
    <row r="21" spans="1:3" ht="39.6" customHeight="1" x14ac:dyDescent="0.35">
      <c r="A21" s="43" t="s">
        <v>394</v>
      </c>
      <c r="B21" s="68" t="s">
        <v>365</v>
      </c>
      <c r="C21" s="70">
        <f>C22+C34+C28+C26+C31</f>
        <v>283407.59999999998</v>
      </c>
    </row>
    <row r="22" spans="1:3" ht="34.5" customHeight="1" x14ac:dyDescent="0.35">
      <c r="A22" s="43" t="s">
        <v>412</v>
      </c>
      <c r="B22" s="68" t="s">
        <v>413</v>
      </c>
      <c r="C22" s="70">
        <f>C23</f>
        <v>169098.2</v>
      </c>
    </row>
    <row r="23" spans="1:3" ht="56.4" customHeight="1" x14ac:dyDescent="0.35">
      <c r="A23" s="43" t="s">
        <v>410</v>
      </c>
      <c r="B23" s="68" t="s">
        <v>411</v>
      </c>
      <c r="C23" s="70">
        <f>SUM(C24:C25)</f>
        <v>169098.2</v>
      </c>
    </row>
    <row r="24" spans="1:3" ht="54" x14ac:dyDescent="0.35">
      <c r="A24" s="43"/>
      <c r="B24" s="223" t="s">
        <v>453</v>
      </c>
      <c r="C24" s="622">
        <v>92202.2</v>
      </c>
    </row>
    <row r="25" spans="1:3" ht="126" x14ac:dyDescent="0.35">
      <c r="A25" s="42"/>
      <c r="B25" s="223" t="s">
        <v>692</v>
      </c>
      <c r="C25" s="623">
        <f>60052+16844</f>
        <v>76896</v>
      </c>
    </row>
    <row r="26" spans="1:3" s="51" customFormat="1" ht="75" customHeight="1" x14ac:dyDescent="0.35">
      <c r="A26" s="42" t="s">
        <v>447</v>
      </c>
      <c r="B26" s="68" t="s">
        <v>450</v>
      </c>
      <c r="C26" s="70">
        <f>C27</f>
        <v>64014.5</v>
      </c>
    </row>
    <row r="27" spans="1:3" s="51" customFormat="1" ht="72" x14ac:dyDescent="0.35">
      <c r="A27" s="42" t="s">
        <v>443</v>
      </c>
      <c r="B27" s="68" t="s">
        <v>444</v>
      </c>
      <c r="C27" s="70">
        <v>64014.5</v>
      </c>
    </row>
    <row r="28" spans="1:3" s="51" customFormat="1" x14ac:dyDescent="0.35">
      <c r="A28" s="42" t="s">
        <v>522</v>
      </c>
      <c r="B28" s="68" t="s">
        <v>523</v>
      </c>
      <c r="C28" s="70">
        <f>C29</f>
        <v>395.1</v>
      </c>
    </row>
    <row r="29" spans="1:3" s="51" customFormat="1" ht="36" customHeight="1" x14ac:dyDescent="0.35">
      <c r="A29" s="42" t="s">
        <v>521</v>
      </c>
      <c r="B29" s="68" t="s">
        <v>524</v>
      </c>
      <c r="C29" s="70">
        <f>C30</f>
        <v>395.1</v>
      </c>
    </row>
    <row r="30" spans="1:3" s="51" customFormat="1" ht="54" x14ac:dyDescent="0.35">
      <c r="A30" s="42"/>
      <c r="B30" s="224" t="s">
        <v>525</v>
      </c>
      <c r="C30" s="622">
        <v>395.1</v>
      </c>
    </row>
    <row r="31" spans="1:3" s="51" customFormat="1" ht="54" x14ac:dyDescent="0.35">
      <c r="A31" s="42" t="s">
        <v>654</v>
      </c>
      <c r="B31" s="68" t="s">
        <v>655</v>
      </c>
      <c r="C31" s="70">
        <f>C32</f>
        <v>518.6</v>
      </c>
    </row>
    <row r="32" spans="1:3" s="51" customFormat="1" ht="36" x14ac:dyDescent="0.35">
      <c r="A32" s="42" t="s">
        <v>656</v>
      </c>
      <c r="B32" s="68" t="s">
        <v>657</v>
      </c>
      <c r="C32" s="70">
        <f>C33</f>
        <v>518.6</v>
      </c>
    </row>
    <row r="33" spans="1:3" s="51" customFormat="1" ht="126" x14ac:dyDescent="0.35">
      <c r="A33" s="42"/>
      <c r="B33" s="224" t="s">
        <v>658</v>
      </c>
      <c r="C33" s="70">
        <v>518.6</v>
      </c>
    </row>
    <row r="34" spans="1:3" ht="17.25" customHeight="1" x14ac:dyDescent="0.35">
      <c r="A34" s="42" t="s">
        <v>395</v>
      </c>
      <c r="B34" s="68" t="s">
        <v>301</v>
      </c>
      <c r="C34" s="70">
        <f>C35</f>
        <v>49381.2</v>
      </c>
    </row>
    <row r="35" spans="1:3" x14ac:dyDescent="0.35">
      <c r="A35" s="42" t="s">
        <v>386</v>
      </c>
      <c r="B35" s="68" t="s">
        <v>531</v>
      </c>
      <c r="C35" s="70">
        <f>SUM(C36:C42)</f>
        <v>49381.2</v>
      </c>
    </row>
    <row r="36" spans="1:3" ht="234" x14ac:dyDescent="0.35">
      <c r="A36" s="59"/>
      <c r="B36" s="223" t="s">
        <v>611</v>
      </c>
      <c r="C36" s="622">
        <v>40</v>
      </c>
    </row>
    <row r="37" spans="1:3" ht="153" customHeight="1" x14ac:dyDescent="0.35">
      <c r="A37" s="59"/>
      <c r="B37" s="223" t="s">
        <v>604</v>
      </c>
      <c r="C37" s="622">
        <v>5473.7</v>
      </c>
    </row>
    <row r="38" spans="1:3" ht="54" x14ac:dyDescent="0.35">
      <c r="A38" s="59"/>
      <c r="B38" s="223" t="s">
        <v>403</v>
      </c>
      <c r="C38" s="622">
        <f>1903.3+351.5</f>
        <v>2254.8000000000002</v>
      </c>
    </row>
    <row r="39" spans="1:3" ht="72" x14ac:dyDescent="0.35">
      <c r="A39" s="59"/>
      <c r="B39" s="223" t="s">
        <v>696</v>
      </c>
      <c r="C39" s="622">
        <v>10072</v>
      </c>
    </row>
    <row r="40" spans="1:3" ht="144" x14ac:dyDescent="0.35">
      <c r="A40" s="59"/>
      <c r="B40" s="223" t="s">
        <v>695</v>
      </c>
      <c r="C40" s="622">
        <v>3510.5</v>
      </c>
    </row>
    <row r="41" spans="1:3" ht="54" x14ac:dyDescent="0.35">
      <c r="A41" s="59"/>
      <c r="B41" s="223" t="s">
        <v>560</v>
      </c>
      <c r="C41" s="622">
        <v>1164</v>
      </c>
    </row>
    <row r="42" spans="1:3" ht="72" x14ac:dyDescent="0.35">
      <c r="A42" s="59"/>
      <c r="B42" s="224" t="s">
        <v>563</v>
      </c>
      <c r="C42" s="622">
        <v>26866.2</v>
      </c>
    </row>
    <row r="43" spans="1:3" ht="36" x14ac:dyDescent="0.35">
      <c r="A43" s="43" t="s">
        <v>396</v>
      </c>
      <c r="B43" s="67" t="s">
        <v>337</v>
      </c>
      <c r="C43" s="70">
        <f>C44+C61+C65+C69+C71+C63+C67</f>
        <v>1057631.9999999998</v>
      </c>
    </row>
    <row r="44" spans="1:3" ht="39" customHeight="1" x14ac:dyDescent="0.35">
      <c r="A44" s="43" t="s">
        <v>397</v>
      </c>
      <c r="B44" s="67" t="s">
        <v>20</v>
      </c>
      <c r="C44" s="70">
        <f>C45</f>
        <v>924459.49999999988</v>
      </c>
    </row>
    <row r="45" spans="1:3" ht="36" x14ac:dyDescent="0.35">
      <c r="A45" s="43" t="s">
        <v>387</v>
      </c>
      <c r="B45" s="67" t="s">
        <v>532</v>
      </c>
      <c r="C45" s="70">
        <f>SUM(C46:C51)+SUM(C53:C55)+C58+C59+C60</f>
        <v>924459.49999999988</v>
      </c>
    </row>
    <row r="46" spans="1:3" ht="144" x14ac:dyDescent="0.35">
      <c r="A46" s="43"/>
      <c r="B46" s="223" t="s">
        <v>414</v>
      </c>
      <c r="C46" s="622">
        <v>93.8</v>
      </c>
    </row>
    <row r="47" spans="1:3" ht="54" x14ac:dyDescent="0.35">
      <c r="A47" s="43"/>
      <c r="B47" s="224" t="s">
        <v>415</v>
      </c>
      <c r="C47" s="624">
        <v>21496</v>
      </c>
    </row>
    <row r="48" spans="1:3" s="60" customFormat="1" ht="72" x14ac:dyDescent="0.35">
      <c r="A48" s="59"/>
      <c r="B48" s="224" t="s">
        <v>257</v>
      </c>
      <c r="C48" s="624">
        <v>2391.3000000000002</v>
      </c>
    </row>
    <row r="49" spans="1:12" s="60" customFormat="1" ht="160.94999999999999" customHeight="1" x14ac:dyDescent="0.35">
      <c r="A49" s="43"/>
      <c r="B49" s="224" t="s">
        <v>533</v>
      </c>
      <c r="C49" s="624">
        <v>755.8</v>
      </c>
    </row>
    <row r="50" spans="1:12" ht="153" customHeight="1" x14ac:dyDescent="0.35">
      <c r="A50" s="69"/>
      <c r="B50" s="224" t="s">
        <v>608</v>
      </c>
      <c r="C50" s="624">
        <v>63</v>
      </c>
    </row>
    <row r="51" spans="1:12" s="60" customFormat="1" ht="147.75" customHeight="1" x14ac:dyDescent="0.35">
      <c r="A51" s="59"/>
      <c r="B51" s="224" t="s">
        <v>260</v>
      </c>
      <c r="C51" s="624">
        <f>C52</f>
        <v>2207.5</v>
      </c>
    </row>
    <row r="52" spans="1:12" s="60" customFormat="1" ht="60.75" customHeight="1" x14ac:dyDescent="0.35">
      <c r="A52" s="59" t="s">
        <v>256</v>
      </c>
      <c r="B52" s="224" t="s">
        <v>416</v>
      </c>
      <c r="C52" s="624">
        <v>2207.5</v>
      </c>
    </row>
    <row r="53" spans="1:12" ht="147" customHeight="1" x14ac:dyDescent="0.35">
      <c r="A53" s="59"/>
      <c r="B53" s="224" t="s">
        <v>378</v>
      </c>
      <c r="C53" s="624">
        <f>56302.4+14074.3</f>
        <v>70376.7</v>
      </c>
    </row>
    <row r="54" spans="1:12" ht="132" customHeight="1" x14ac:dyDescent="0.35">
      <c r="A54" s="43"/>
      <c r="B54" s="224" t="s">
        <v>478</v>
      </c>
      <c r="C54" s="624">
        <v>3298.8</v>
      </c>
    </row>
    <row r="55" spans="1:12" ht="93.75" customHeight="1" x14ac:dyDescent="0.35">
      <c r="A55" s="59"/>
      <c r="B55" s="224" t="s">
        <v>340</v>
      </c>
      <c r="C55" s="624">
        <f>SUM(C56:C57)</f>
        <v>813983.89999999991</v>
      </c>
    </row>
    <row r="56" spans="1:12" s="60" customFormat="1" ht="20.25" customHeight="1" x14ac:dyDescent="0.35">
      <c r="A56" s="59" t="s">
        <v>256</v>
      </c>
      <c r="B56" s="224" t="s">
        <v>258</v>
      </c>
      <c r="C56" s="623">
        <v>275400.2</v>
      </c>
    </row>
    <row r="57" spans="1:12" s="60" customFormat="1" x14ac:dyDescent="0.35">
      <c r="A57" s="59"/>
      <c r="B57" s="319" t="s">
        <v>259</v>
      </c>
      <c r="C57" s="623">
        <v>538583.69999999995</v>
      </c>
    </row>
    <row r="58" spans="1:12" s="60" customFormat="1" ht="181.95" customHeight="1" x14ac:dyDescent="0.35">
      <c r="A58" s="59"/>
      <c r="B58" s="320" t="s">
        <v>466</v>
      </c>
      <c r="C58" s="624">
        <v>2379.1</v>
      </c>
    </row>
    <row r="59" spans="1:12" s="60" customFormat="1" ht="96.75" customHeight="1" x14ac:dyDescent="0.35">
      <c r="A59" s="59"/>
      <c r="B59" s="224" t="s">
        <v>432</v>
      </c>
      <c r="C59" s="624">
        <v>5568</v>
      </c>
    </row>
    <row r="60" spans="1:12" s="60" customFormat="1" ht="126" x14ac:dyDescent="0.35">
      <c r="A60" s="59"/>
      <c r="B60" s="224" t="s">
        <v>506</v>
      </c>
      <c r="C60" s="624">
        <v>1845.6</v>
      </c>
    </row>
    <row r="61" spans="1:12" s="50" customFormat="1" ht="94.5" customHeight="1" x14ac:dyDescent="0.3">
      <c r="A61" s="42" t="s">
        <v>398</v>
      </c>
      <c r="B61" s="67" t="s">
        <v>255</v>
      </c>
      <c r="C61" s="71">
        <f>C62</f>
        <v>8438.2000000000007</v>
      </c>
      <c r="D61" s="47"/>
      <c r="E61" s="48"/>
      <c r="F61" s="49"/>
    </row>
    <row r="62" spans="1:12" s="50" customFormat="1" ht="95.25" customHeight="1" x14ac:dyDescent="0.3">
      <c r="A62" s="42" t="s">
        <v>391</v>
      </c>
      <c r="B62" s="67" t="s">
        <v>8</v>
      </c>
      <c r="C62" s="71">
        <v>8438.2000000000007</v>
      </c>
      <c r="D62" s="47"/>
      <c r="G62" s="307"/>
      <c r="H62" s="308"/>
      <c r="I62" s="308"/>
      <c r="J62" s="308"/>
      <c r="K62" s="308"/>
      <c r="L62" s="308"/>
    </row>
    <row r="63" spans="1:12" s="50" customFormat="1" ht="95.25" customHeight="1" x14ac:dyDescent="0.3">
      <c r="A63" s="42" t="s">
        <v>509</v>
      </c>
      <c r="B63" s="67" t="s">
        <v>510</v>
      </c>
      <c r="C63" s="71">
        <f>C64</f>
        <v>5624.3</v>
      </c>
      <c r="D63" s="47"/>
      <c r="G63" s="307"/>
      <c r="H63" s="308"/>
      <c r="I63" s="308"/>
      <c r="J63" s="308"/>
      <c r="K63" s="308"/>
      <c r="L63" s="308"/>
    </row>
    <row r="64" spans="1:12" s="50" customFormat="1" ht="95.25" customHeight="1" x14ac:dyDescent="0.3">
      <c r="A64" s="42" t="s">
        <v>511</v>
      </c>
      <c r="B64" s="67" t="s">
        <v>512</v>
      </c>
      <c r="C64" s="71">
        <v>5624.3</v>
      </c>
      <c r="D64" s="47"/>
      <c r="G64" s="307"/>
      <c r="H64" s="308"/>
      <c r="I64" s="308"/>
      <c r="J64" s="308"/>
      <c r="K64" s="308"/>
      <c r="L64" s="308"/>
    </row>
    <row r="65" spans="1:12" ht="73.5" customHeight="1" x14ac:dyDescent="0.35">
      <c r="A65" s="43" t="s">
        <v>399</v>
      </c>
      <c r="B65" s="218" t="s">
        <v>377</v>
      </c>
      <c r="C65" s="70">
        <f>C66</f>
        <v>8.6</v>
      </c>
      <c r="G65" s="308"/>
      <c r="H65" s="308"/>
      <c r="I65" s="308"/>
      <c r="J65" s="308"/>
      <c r="K65" s="308"/>
      <c r="L65" s="308"/>
    </row>
    <row r="66" spans="1:12" ht="74.25" customHeight="1" x14ac:dyDescent="0.35">
      <c r="A66" s="43" t="s">
        <v>388</v>
      </c>
      <c r="B66" s="218" t="s">
        <v>366</v>
      </c>
      <c r="C66" s="70">
        <v>8.6</v>
      </c>
      <c r="G66" s="308"/>
      <c r="H66" s="308"/>
      <c r="I66" s="308"/>
      <c r="J66" s="308"/>
      <c r="K66" s="308"/>
      <c r="L66" s="308"/>
    </row>
    <row r="67" spans="1:12" ht="74.25" customHeight="1" x14ac:dyDescent="0.35">
      <c r="A67" s="43" t="s">
        <v>618</v>
      </c>
      <c r="B67" s="218" t="s">
        <v>619</v>
      </c>
      <c r="C67" s="70">
        <f>C68</f>
        <v>5745.9</v>
      </c>
      <c r="G67" s="308"/>
      <c r="H67" s="308"/>
      <c r="I67" s="308"/>
      <c r="J67" s="308"/>
      <c r="K67" s="308"/>
      <c r="L67" s="308"/>
    </row>
    <row r="68" spans="1:12" ht="74.25" customHeight="1" x14ac:dyDescent="0.35">
      <c r="A68" s="43" t="s">
        <v>620</v>
      </c>
      <c r="B68" s="218" t="s">
        <v>621</v>
      </c>
      <c r="C68" s="70">
        <v>5745.9</v>
      </c>
      <c r="G68" s="308"/>
      <c r="H68" s="308"/>
      <c r="I68" s="308"/>
      <c r="J68" s="308"/>
      <c r="K68" s="308"/>
      <c r="L68" s="308"/>
    </row>
    <row r="69" spans="1:12" ht="126" x14ac:dyDescent="0.35">
      <c r="A69" s="43" t="s">
        <v>479</v>
      </c>
      <c r="B69" s="218" t="s">
        <v>557</v>
      </c>
      <c r="C69" s="70">
        <f>C70</f>
        <v>35544.6</v>
      </c>
      <c r="G69" s="308"/>
      <c r="H69" s="308"/>
      <c r="I69" s="308"/>
      <c r="J69" s="308"/>
      <c r="K69" s="308"/>
      <c r="L69" s="308"/>
    </row>
    <row r="70" spans="1:12" ht="126" x14ac:dyDescent="0.35">
      <c r="A70" s="43" t="s">
        <v>480</v>
      </c>
      <c r="B70" s="218" t="s">
        <v>556</v>
      </c>
      <c r="C70" s="70">
        <v>35544.6</v>
      </c>
      <c r="G70" s="308"/>
      <c r="H70" s="308"/>
      <c r="I70" s="308"/>
      <c r="J70" s="308"/>
      <c r="K70" s="308"/>
      <c r="L70" s="308"/>
    </row>
    <row r="71" spans="1:12" ht="36" x14ac:dyDescent="0.35">
      <c r="A71" s="43" t="s">
        <v>515</v>
      </c>
      <c r="B71" s="218" t="s">
        <v>514</v>
      </c>
      <c r="C71" s="425">
        <f>C72</f>
        <v>77810.899999999994</v>
      </c>
    </row>
    <row r="72" spans="1:12" ht="36" x14ac:dyDescent="0.35">
      <c r="A72" s="43" t="s">
        <v>516</v>
      </c>
      <c r="B72" s="218" t="s">
        <v>517</v>
      </c>
      <c r="C72" s="425">
        <f>4104.8+73563.2+142.9</f>
        <v>77810.899999999994</v>
      </c>
    </row>
    <row r="73" spans="1:12" ht="18" customHeight="1" x14ac:dyDescent="0.35">
      <c r="A73" s="43" t="s">
        <v>402</v>
      </c>
      <c r="B73" s="218" t="s">
        <v>422</v>
      </c>
      <c r="C73" s="70">
        <f>C74+C76</f>
        <v>11484.2</v>
      </c>
    </row>
    <row r="74" spans="1:12" ht="72" x14ac:dyDescent="0.35">
      <c r="A74" s="84" t="s">
        <v>423</v>
      </c>
      <c r="B74" s="220" t="s">
        <v>424</v>
      </c>
      <c r="C74" s="70">
        <f>C75</f>
        <v>2779.2</v>
      </c>
    </row>
    <row r="75" spans="1:12" ht="90" x14ac:dyDescent="0.35">
      <c r="A75" s="84" t="s">
        <v>390</v>
      </c>
      <c r="B75" s="220" t="s">
        <v>5</v>
      </c>
      <c r="C75" s="70">
        <v>2779.2</v>
      </c>
    </row>
    <row r="76" spans="1:12" x14ac:dyDescent="0.35">
      <c r="A76" s="43" t="s">
        <v>652</v>
      </c>
      <c r="B76" s="218" t="s">
        <v>653</v>
      </c>
      <c r="C76" s="71">
        <f>C77</f>
        <v>8705</v>
      </c>
    </row>
    <row r="77" spans="1:12" ht="36" x14ac:dyDescent="0.35">
      <c r="A77" s="43" t="s">
        <v>648</v>
      </c>
      <c r="B77" s="218" t="s">
        <v>649</v>
      </c>
      <c r="C77" s="71">
        <f>SUM(C78:C79)</f>
        <v>8705</v>
      </c>
    </row>
    <row r="78" spans="1:12" ht="72" x14ac:dyDescent="0.35">
      <c r="A78" s="84"/>
      <c r="B78" s="653" t="s">
        <v>650</v>
      </c>
      <c r="C78" s="622">
        <v>7255</v>
      </c>
    </row>
    <row r="79" spans="1:12" ht="54" x14ac:dyDescent="0.35">
      <c r="A79" s="43"/>
      <c r="B79" s="654" t="s">
        <v>651</v>
      </c>
      <c r="C79" s="624">
        <f>500+950</f>
        <v>1450</v>
      </c>
      <c r="D79" s="65"/>
      <c r="E79" s="65"/>
    </row>
    <row r="80" spans="1:12" x14ac:dyDescent="0.35">
      <c r="A80" s="72"/>
      <c r="B80" s="113"/>
      <c r="C80" s="606"/>
      <c r="D80" s="65"/>
      <c r="E80" s="65"/>
    </row>
    <row r="81" spans="1:3" x14ac:dyDescent="0.35">
      <c r="A81" s="72"/>
      <c r="B81" s="113"/>
      <c r="C81" s="63"/>
    </row>
    <row r="82" spans="1:3" x14ac:dyDescent="0.35">
      <c r="A82" s="611" t="s">
        <v>371</v>
      </c>
      <c r="B82" s="46"/>
      <c r="C82" s="47"/>
    </row>
    <row r="83" spans="1:3" x14ac:dyDescent="0.35">
      <c r="A83" s="611" t="s">
        <v>372</v>
      </c>
      <c r="B83" s="46"/>
      <c r="C83" s="47"/>
    </row>
    <row r="84" spans="1:3" x14ac:dyDescent="0.35">
      <c r="A84" s="612" t="s">
        <v>373</v>
      </c>
      <c r="B84" s="46"/>
      <c r="C84" s="613" t="s">
        <v>383</v>
      </c>
    </row>
    <row r="415" spans="10:11" x14ac:dyDescent="0.35">
      <c r="J415" s="39">
        <v>135.4</v>
      </c>
      <c r="K415" s="39">
        <v>140.9</v>
      </c>
    </row>
    <row r="416" spans="10:11" x14ac:dyDescent="0.35">
      <c r="J416" s="39">
        <v>27088.9</v>
      </c>
      <c r="K416" s="39">
        <v>28171.4</v>
      </c>
    </row>
  </sheetData>
  <autoFilter ref="B4:C416"/>
  <mergeCells count="1">
    <mergeCell ref="A9:C9"/>
  </mergeCells>
  <printOptions horizontalCentered="1"/>
  <pageMargins left="1.1811023622047245" right="0.39370078740157483" top="0.6692913385826772" bottom="0.39370078740157483" header="0" footer="0"/>
  <pageSetup paperSize="9" scale="72" fitToHeight="0" orientation="portrait" blackAndWhite="1" r:id="rId1"/>
  <headerFooter differentFirst="1">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I400"/>
  <sheetViews>
    <sheetView zoomScale="80" zoomScaleNormal="80" workbookViewId="0">
      <selection activeCell="I7" sqref="I7"/>
    </sheetView>
  </sheetViews>
  <sheetFormatPr defaultColWidth="8.88671875" defaultRowHeight="18" x14ac:dyDescent="0.35"/>
  <cols>
    <col min="1" max="1" width="28.6640625" style="39" customWidth="1"/>
    <col min="2" max="2" width="69.109375" style="39" customWidth="1"/>
    <col min="3" max="3" width="13.5546875" style="64" customWidth="1"/>
    <col min="4" max="4" width="14.109375" style="39" customWidth="1"/>
    <col min="5" max="16384" width="8.88671875" style="39"/>
  </cols>
  <sheetData>
    <row r="1" spans="1:4" x14ac:dyDescent="0.35">
      <c r="A1" s="65"/>
      <c r="B1" s="65"/>
      <c r="C1" s="39"/>
      <c r="D1" s="44" t="s">
        <v>483</v>
      </c>
    </row>
    <row r="2" spans="1:4" x14ac:dyDescent="0.35">
      <c r="A2" s="65"/>
      <c r="B2" s="65"/>
      <c r="C2" s="39"/>
      <c r="D2" s="158" t="s">
        <v>697</v>
      </c>
    </row>
    <row r="3" spans="1:4" x14ac:dyDescent="0.35">
      <c r="A3" s="65"/>
      <c r="B3" s="65"/>
      <c r="C3" s="39"/>
      <c r="D3" s="158"/>
    </row>
    <row r="4" spans="1:4" x14ac:dyDescent="0.35">
      <c r="A4" s="65"/>
      <c r="B4" s="65"/>
      <c r="C4" s="39"/>
      <c r="D4" s="44" t="s">
        <v>483</v>
      </c>
    </row>
    <row r="5" spans="1:4" x14ac:dyDescent="0.35">
      <c r="A5" s="65"/>
      <c r="B5" s="65"/>
      <c r="C5" s="39"/>
      <c r="D5" s="158" t="s">
        <v>630</v>
      </c>
    </row>
    <row r="6" spans="1:4" x14ac:dyDescent="0.35">
      <c r="A6" s="65"/>
      <c r="B6" s="65"/>
      <c r="C6" s="39"/>
      <c r="D6" s="158"/>
    </row>
    <row r="7" spans="1:4" ht="16.2" customHeight="1" x14ac:dyDescent="0.35"/>
    <row r="8" spans="1:4" ht="40.200000000000003" customHeight="1" x14ac:dyDescent="0.35">
      <c r="A8" s="695" t="s">
        <v>569</v>
      </c>
      <c r="B8" s="695"/>
      <c r="C8" s="695"/>
      <c r="D8" s="695"/>
    </row>
    <row r="9" spans="1:4" ht="9" customHeight="1" x14ac:dyDescent="0.35">
      <c r="A9" s="435"/>
      <c r="B9" s="435"/>
      <c r="C9" s="52"/>
    </row>
    <row r="10" spans="1:4" x14ac:dyDescent="0.35">
      <c r="D10" s="53" t="s">
        <v>21</v>
      </c>
    </row>
    <row r="11" spans="1:4" x14ac:dyDescent="0.35">
      <c r="A11" s="693" t="s">
        <v>13</v>
      </c>
      <c r="B11" s="693" t="s">
        <v>14</v>
      </c>
      <c r="C11" s="691" t="s">
        <v>15</v>
      </c>
      <c r="D11" s="692"/>
    </row>
    <row r="12" spans="1:4" x14ac:dyDescent="0.35">
      <c r="A12" s="694"/>
      <c r="B12" s="694"/>
      <c r="C12" s="54" t="s">
        <v>527</v>
      </c>
      <c r="D12" s="54" t="s">
        <v>568</v>
      </c>
    </row>
    <row r="13" spans="1:4" x14ac:dyDescent="0.35">
      <c r="A13" s="55">
        <v>1</v>
      </c>
      <c r="B13" s="55">
        <v>2</v>
      </c>
      <c r="C13" s="56">
        <v>3</v>
      </c>
      <c r="D13" s="56">
        <v>4</v>
      </c>
    </row>
    <row r="14" spans="1:4" x14ac:dyDescent="0.35">
      <c r="A14" s="45" t="s">
        <v>16</v>
      </c>
      <c r="B14" s="57" t="s">
        <v>307</v>
      </c>
      <c r="C14" s="58">
        <f>C15</f>
        <v>1347267.5999999999</v>
      </c>
      <c r="D14" s="58">
        <f>D15</f>
        <v>1409471.5999999999</v>
      </c>
    </row>
    <row r="15" spans="1:4" ht="36" x14ac:dyDescent="0.35">
      <c r="A15" s="43" t="s">
        <v>17</v>
      </c>
      <c r="B15" s="67" t="s">
        <v>18</v>
      </c>
      <c r="C15" s="70">
        <f>C16+C31+C19</f>
        <v>1347267.5999999999</v>
      </c>
      <c r="D15" s="70">
        <f>D16+D31+D19</f>
        <v>1409471.5999999999</v>
      </c>
    </row>
    <row r="16" spans="1:4" ht="36" x14ac:dyDescent="0.35">
      <c r="A16" s="43" t="s">
        <v>392</v>
      </c>
      <c r="B16" s="67" t="s">
        <v>336</v>
      </c>
      <c r="C16" s="70">
        <f>C17</f>
        <v>201131.1</v>
      </c>
      <c r="D16" s="70">
        <f>D17</f>
        <v>219959.6</v>
      </c>
    </row>
    <row r="17" spans="1:4" x14ac:dyDescent="0.35">
      <c r="A17" s="43" t="s">
        <v>393</v>
      </c>
      <c r="B17" s="67" t="s">
        <v>19</v>
      </c>
      <c r="C17" s="70">
        <f>C18</f>
        <v>201131.1</v>
      </c>
      <c r="D17" s="70">
        <f>D18</f>
        <v>219959.6</v>
      </c>
    </row>
    <row r="18" spans="1:4" ht="54" x14ac:dyDescent="0.35">
      <c r="A18" s="43" t="s">
        <v>389</v>
      </c>
      <c r="B18" s="67" t="s">
        <v>420</v>
      </c>
      <c r="C18" s="70">
        <v>201131.1</v>
      </c>
      <c r="D18" s="70">
        <v>219959.6</v>
      </c>
    </row>
    <row r="19" spans="1:4" ht="36" x14ac:dyDescent="0.35">
      <c r="A19" s="43" t="s">
        <v>394</v>
      </c>
      <c r="B19" s="68" t="s">
        <v>365</v>
      </c>
      <c r="C19" s="70">
        <f>C25+C20+C22</f>
        <v>76858.100000000006</v>
      </c>
      <c r="D19" s="70">
        <f>D25+D20+D22</f>
        <v>76267.8</v>
      </c>
    </row>
    <row r="20" spans="1:4" s="51" customFormat="1" ht="72" x14ac:dyDescent="0.35">
      <c r="A20" s="42" t="s">
        <v>447</v>
      </c>
      <c r="B20" s="68" t="s">
        <v>448</v>
      </c>
      <c r="C20" s="70">
        <f>C21</f>
        <v>64923</v>
      </c>
      <c r="D20" s="70">
        <f>D21</f>
        <v>65025.7</v>
      </c>
    </row>
    <row r="21" spans="1:4" s="51" customFormat="1" ht="72" customHeight="1" x14ac:dyDescent="0.35">
      <c r="A21" s="42" t="s">
        <v>443</v>
      </c>
      <c r="B21" s="68" t="s">
        <v>444</v>
      </c>
      <c r="C21" s="70">
        <v>64923</v>
      </c>
      <c r="D21" s="70">
        <v>65025.7</v>
      </c>
    </row>
    <row r="22" spans="1:4" s="51" customFormat="1" x14ac:dyDescent="0.35">
      <c r="A22" s="42" t="s">
        <v>522</v>
      </c>
      <c r="B22" s="68" t="s">
        <v>523</v>
      </c>
      <c r="C22" s="70">
        <f>C23</f>
        <v>395.6</v>
      </c>
      <c r="D22" s="70">
        <f>D23</f>
        <v>406</v>
      </c>
    </row>
    <row r="23" spans="1:4" s="51" customFormat="1" ht="36" x14ac:dyDescent="0.35">
      <c r="A23" s="42" t="s">
        <v>521</v>
      </c>
      <c r="B23" s="68" t="s">
        <v>524</v>
      </c>
      <c r="C23" s="70">
        <f>C24</f>
        <v>395.6</v>
      </c>
      <c r="D23" s="70">
        <f>D24</f>
        <v>406</v>
      </c>
    </row>
    <row r="24" spans="1:4" s="51" customFormat="1" ht="72" x14ac:dyDescent="0.35">
      <c r="A24" s="42"/>
      <c r="B24" s="224" t="s">
        <v>525</v>
      </c>
      <c r="C24" s="70">
        <v>395.6</v>
      </c>
      <c r="D24" s="70">
        <v>406</v>
      </c>
    </row>
    <row r="25" spans="1:4" x14ac:dyDescent="0.35">
      <c r="A25" s="42" t="s">
        <v>395</v>
      </c>
      <c r="B25" s="68" t="s">
        <v>301</v>
      </c>
      <c r="C25" s="70">
        <f>C26</f>
        <v>11539.5</v>
      </c>
      <c r="D25" s="70">
        <f>D26</f>
        <v>10836.1</v>
      </c>
    </row>
    <row r="26" spans="1:4" x14ac:dyDescent="0.35">
      <c r="A26" s="42" t="s">
        <v>386</v>
      </c>
      <c r="B26" s="68" t="s">
        <v>531</v>
      </c>
      <c r="C26" s="70">
        <f>SUM(C27:C30)</f>
        <v>11539.5</v>
      </c>
      <c r="D26" s="70">
        <f>SUM(D27:D30)</f>
        <v>10836.1</v>
      </c>
    </row>
    <row r="27" spans="1:4" ht="234" x14ac:dyDescent="0.35">
      <c r="A27" s="59"/>
      <c r="B27" s="223" t="s">
        <v>611</v>
      </c>
      <c r="C27" s="622">
        <v>40</v>
      </c>
      <c r="D27" s="622">
        <v>40</v>
      </c>
    </row>
    <row r="28" spans="1:4" ht="54" x14ac:dyDescent="0.35">
      <c r="A28" s="59"/>
      <c r="B28" s="223" t="s">
        <v>403</v>
      </c>
      <c r="C28" s="622">
        <f>1903.3+351.5</f>
        <v>2254.8000000000002</v>
      </c>
      <c r="D28" s="622">
        <f>1142+210.9</f>
        <v>1352.9</v>
      </c>
    </row>
    <row r="29" spans="1:4" ht="72" x14ac:dyDescent="0.35">
      <c r="A29" s="59"/>
      <c r="B29" s="223" t="s">
        <v>696</v>
      </c>
      <c r="C29" s="622">
        <v>9244.7000000000007</v>
      </c>
      <c r="D29" s="622">
        <v>8702.2000000000007</v>
      </c>
    </row>
    <row r="30" spans="1:4" ht="36" x14ac:dyDescent="0.35">
      <c r="A30" s="59"/>
      <c r="B30" s="223" t="s">
        <v>610</v>
      </c>
      <c r="C30" s="622">
        <v>0</v>
      </c>
      <c r="D30" s="622">
        <v>741</v>
      </c>
    </row>
    <row r="31" spans="1:4" ht="36" x14ac:dyDescent="0.35">
      <c r="A31" s="43" t="s">
        <v>396</v>
      </c>
      <c r="B31" s="67" t="s">
        <v>337</v>
      </c>
      <c r="C31" s="70">
        <f>C32+C49+C53+C57+C59+C51+C55</f>
        <v>1069278.3999999997</v>
      </c>
      <c r="D31" s="70">
        <f>D32+D49+D53+D57+D59+D51+D55</f>
        <v>1113244.1999999997</v>
      </c>
    </row>
    <row r="32" spans="1:4" ht="39.75" customHeight="1" x14ac:dyDescent="0.35">
      <c r="A32" s="43" t="s">
        <v>397</v>
      </c>
      <c r="B32" s="67" t="s">
        <v>20</v>
      </c>
      <c r="C32" s="70">
        <f>C33</f>
        <v>930639.2</v>
      </c>
      <c r="D32" s="70">
        <f>D33</f>
        <v>971241.29999999993</v>
      </c>
    </row>
    <row r="33" spans="1:4" ht="54" x14ac:dyDescent="0.35">
      <c r="A33" s="43" t="s">
        <v>387</v>
      </c>
      <c r="B33" s="67" t="s">
        <v>532</v>
      </c>
      <c r="C33" s="70">
        <f>SUM(C34:C39)+SUM(C41:C43)+C46+C47+C48</f>
        <v>930639.2</v>
      </c>
      <c r="D33" s="70">
        <f>SUM(D34:D39)+SUM(D41:D43)+D46+D47+D48</f>
        <v>971241.29999999993</v>
      </c>
    </row>
    <row r="34" spans="1:4" ht="162" x14ac:dyDescent="0.35">
      <c r="A34" s="43"/>
      <c r="B34" s="223" t="s">
        <v>414</v>
      </c>
      <c r="C34" s="622">
        <v>93.8</v>
      </c>
      <c r="D34" s="622">
        <v>93.8</v>
      </c>
    </row>
    <row r="35" spans="1:4" ht="54" x14ac:dyDescent="0.35">
      <c r="A35" s="43"/>
      <c r="B35" s="224" t="s">
        <v>415</v>
      </c>
      <c r="C35" s="624">
        <v>21516</v>
      </c>
      <c r="D35" s="624">
        <v>21516</v>
      </c>
    </row>
    <row r="36" spans="1:4" ht="72" x14ac:dyDescent="0.35">
      <c r="A36" s="59"/>
      <c r="B36" s="224" t="s">
        <v>257</v>
      </c>
      <c r="C36" s="624">
        <v>2481.6</v>
      </c>
      <c r="D36" s="624">
        <v>2589.1999999999998</v>
      </c>
    </row>
    <row r="37" spans="1:4" ht="162" x14ac:dyDescent="0.35">
      <c r="A37" s="43"/>
      <c r="B37" s="224" t="s">
        <v>533</v>
      </c>
      <c r="C37" s="624">
        <v>775.8</v>
      </c>
      <c r="D37" s="624">
        <v>775.8</v>
      </c>
    </row>
    <row r="38" spans="1:4" s="60" customFormat="1" ht="144" x14ac:dyDescent="0.35">
      <c r="A38" s="69"/>
      <c r="B38" s="224" t="s">
        <v>607</v>
      </c>
      <c r="C38" s="624">
        <v>63</v>
      </c>
      <c r="D38" s="624">
        <v>63</v>
      </c>
    </row>
    <row r="39" spans="1:4" s="60" customFormat="1" ht="148.94999999999999" customHeight="1" x14ac:dyDescent="0.35">
      <c r="A39" s="59"/>
      <c r="B39" s="224" t="s">
        <v>260</v>
      </c>
      <c r="C39" s="624">
        <f>C40</f>
        <v>2295.8000000000002</v>
      </c>
      <c r="D39" s="624">
        <f>D40</f>
        <v>2387.6</v>
      </c>
    </row>
    <row r="40" spans="1:4" s="60" customFormat="1" ht="56.4" customHeight="1" x14ac:dyDescent="0.35">
      <c r="A40" s="59" t="s">
        <v>256</v>
      </c>
      <c r="B40" s="224" t="s">
        <v>416</v>
      </c>
      <c r="C40" s="624">
        <v>2295.8000000000002</v>
      </c>
      <c r="D40" s="624">
        <v>2387.6</v>
      </c>
    </row>
    <row r="41" spans="1:4" ht="162" x14ac:dyDescent="0.35">
      <c r="A41" s="59"/>
      <c r="B41" s="224" t="s">
        <v>378</v>
      </c>
      <c r="C41" s="624">
        <f>30971.5+22518.8</f>
        <v>53490.3</v>
      </c>
      <c r="D41" s="624">
        <f>28156.7+22518.8</f>
        <v>50675.5</v>
      </c>
    </row>
    <row r="42" spans="1:4" ht="157.19999999999999" customHeight="1" x14ac:dyDescent="0.35">
      <c r="A42" s="43"/>
      <c r="B42" s="224" t="s">
        <v>478</v>
      </c>
      <c r="C42" s="624">
        <v>3298.8</v>
      </c>
      <c r="D42" s="624">
        <v>3430.7</v>
      </c>
    </row>
    <row r="43" spans="1:4" ht="90" x14ac:dyDescent="0.35">
      <c r="A43" s="59"/>
      <c r="B43" s="224" t="s">
        <v>340</v>
      </c>
      <c r="C43" s="624">
        <f>SUM(C44:C45)</f>
        <v>836620.6</v>
      </c>
      <c r="D43" s="624">
        <f>SUM(D44:D45)</f>
        <v>879550.2</v>
      </c>
    </row>
    <row r="44" spans="1:4" ht="20.25" customHeight="1" x14ac:dyDescent="0.35">
      <c r="A44" s="59" t="s">
        <v>256</v>
      </c>
      <c r="B44" s="224" t="s">
        <v>258</v>
      </c>
      <c r="C44" s="623">
        <v>295377.5</v>
      </c>
      <c r="D44" s="623">
        <v>312592.3</v>
      </c>
    </row>
    <row r="45" spans="1:4" x14ac:dyDescent="0.35">
      <c r="A45" s="59"/>
      <c r="B45" s="319" t="s">
        <v>259</v>
      </c>
      <c r="C45" s="623">
        <v>541243.1</v>
      </c>
      <c r="D45" s="623">
        <v>566957.9</v>
      </c>
    </row>
    <row r="46" spans="1:4" ht="198" x14ac:dyDescent="0.35">
      <c r="A46" s="59"/>
      <c r="B46" s="320" t="s">
        <v>466</v>
      </c>
      <c r="C46" s="624">
        <v>2291.5</v>
      </c>
      <c r="D46" s="624">
        <v>2262.3000000000002</v>
      </c>
    </row>
    <row r="47" spans="1:4" ht="90" x14ac:dyDescent="0.35">
      <c r="A47" s="59"/>
      <c r="B47" s="224" t="s">
        <v>432</v>
      </c>
      <c r="C47" s="624">
        <v>5790.9</v>
      </c>
      <c r="D47" s="624">
        <v>6022</v>
      </c>
    </row>
    <row r="48" spans="1:4" ht="126" x14ac:dyDescent="0.35">
      <c r="A48" s="59"/>
      <c r="B48" s="224" t="s">
        <v>506</v>
      </c>
      <c r="C48" s="624">
        <v>1921.1</v>
      </c>
      <c r="D48" s="624">
        <v>1875.2</v>
      </c>
    </row>
    <row r="49" spans="1:4" s="50" customFormat="1" ht="90" x14ac:dyDescent="0.3">
      <c r="A49" s="42" t="s">
        <v>398</v>
      </c>
      <c r="B49" s="67" t="s">
        <v>255</v>
      </c>
      <c r="C49" s="71">
        <f>C50</f>
        <v>8438.2000000000007</v>
      </c>
      <c r="D49" s="71">
        <f>D50</f>
        <v>8438.2000000000007</v>
      </c>
    </row>
    <row r="50" spans="1:4" ht="93" customHeight="1" x14ac:dyDescent="0.35">
      <c r="A50" s="42" t="s">
        <v>391</v>
      </c>
      <c r="B50" s="67" t="s">
        <v>8</v>
      </c>
      <c r="C50" s="71">
        <v>8438.2000000000007</v>
      </c>
      <c r="D50" s="71">
        <v>8438.2000000000007</v>
      </c>
    </row>
    <row r="51" spans="1:4" ht="72" x14ac:dyDescent="0.35">
      <c r="A51" s="42" t="s">
        <v>509</v>
      </c>
      <c r="B51" s="67" t="s">
        <v>510</v>
      </c>
      <c r="C51" s="71">
        <f>C52</f>
        <v>8436.4</v>
      </c>
      <c r="D51" s="71">
        <f>D52</f>
        <v>8436.4</v>
      </c>
    </row>
    <row r="52" spans="1:4" ht="72" x14ac:dyDescent="0.35">
      <c r="A52" s="42" t="s">
        <v>511</v>
      </c>
      <c r="B52" s="67" t="s">
        <v>512</v>
      </c>
      <c r="C52" s="71">
        <v>8436.4</v>
      </c>
      <c r="D52" s="71">
        <v>8436.4</v>
      </c>
    </row>
    <row r="53" spans="1:4" ht="72" x14ac:dyDescent="0.35">
      <c r="A53" s="43" t="s">
        <v>399</v>
      </c>
      <c r="B53" s="218" t="s">
        <v>377</v>
      </c>
      <c r="C53" s="70">
        <f>C54</f>
        <v>8.9</v>
      </c>
      <c r="D53" s="70">
        <f>D54</f>
        <v>85.9</v>
      </c>
    </row>
    <row r="54" spans="1:4" ht="75" customHeight="1" x14ac:dyDescent="0.35">
      <c r="A54" s="43" t="s">
        <v>388</v>
      </c>
      <c r="B54" s="218" t="s">
        <v>366</v>
      </c>
      <c r="C54" s="70">
        <v>8.9</v>
      </c>
      <c r="D54" s="70">
        <v>85.9</v>
      </c>
    </row>
    <row r="55" spans="1:4" ht="75" customHeight="1" x14ac:dyDescent="0.35">
      <c r="A55" s="43" t="s">
        <v>618</v>
      </c>
      <c r="B55" s="218" t="s">
        <v>619</v>
      </c>
      <c r="C55" s="70">
        <f>C56</f>
        <v>5745.9</v>
      </c>
      <c r="D55" s="70">
        <f>D56</f>
        <v>6946.4</v>
      </c>
    </row>
    <row r="56" spans="1:4" ht="75" customHeight="1" x14ac:dyDescent="0.35">
      <c r="A56" s="43" t="s">
        <v>620</v>
      </c>
      <c r="B56" s="218" t="s">
        <v>621</v>
      </c>
      <c r="C56" s="70">
        <v>5745.9</v>
      </c>
      <c r="D56" s="70">
        <v>6946.4</v>
      </c>
    </row>
    <row r="57" spans="1:4" ht="144" x14ac:dyDescent="0.35">
      <c r="A57" s="42" t="s">
        <v>479</v>
      </c>
      <c r="B57" s="67" t="s">
        <v>557</v>
      </c>
      <c r="C57" s="71">
        <f>C58</f>
        <v>35544.6</v>
      </c>
      <c r="D57" s="71">
        <f>D58</f>
        <v>35544.6</v>
      </c>
    </row>
    <row r="58" spans="1:4" ht="144" x14ac:dyDescent="0.35">
      <c r="A58" s="42" t="s">
        <v>480</v>
      </c>
      <c r="B58" s="67" t="s">
        <v>556</v>
      </c>
      <c r="C58" s="71">
        <v>35544.6</v>
      </c>
      <c r="D58" s="71">
        <v>35544.6</v>
      </c>
    </row>
    <row r="59" spans="1:4" ht="36" x14ac:dyDescent="0.35">
      <c r="A59" s="43" t="s">
        <v>515</v>
      </c>
      <c r="B59" s="218" t="s">
        <v>514</v>
      </c>
      <c r="C59" s="71">
        <f>C60</f>
        <v>80465.2</v>
      </c>
      <c r="D59" s="71">
        <f>D60</f>
        <v>82551.399999999994</v>
      </c>
    </row>
    <row r="60" spans="1:4" ht="36" x14ac:dyDescent="0.35">
      <c r="A60" s="43" t="s">
        <v>516</v>
      </c>
      <c r="B60" s="218" t="s">
        <v>517</v>
      </c>
      <c r="C60" s="71">
        <f>4217.2+76105.1+142.9</f>
        <v>80465.2</v>
      </c>
      <c r="D60" s="71">
        <f>4217.2+78191.3+142.9</f>
        <v>82551.399999999994</v>
      </c>
    </row>
    <row r="61" spans="1:4" ht="25.95" customHeight="1" x14ac:dyDescent="0.35">
      <c r="A61" s="72"/>
      <c r="B61" s="113"/>
      <c r="C61" s="114"/>
      <c r="D61" s="114"/>
    </row>
    <row r="62" spans="1:4" ht="25.95" customHeight="1" x14ac:dyDescent="0.35">
      <c r="A62" s="61"/>
      <c r="B62" s="62"/>
      <c r="C62" s="63"/>
    </row>
    <row r="63" spans="1:4" x14ac:dyDescent="0.35">
      <c r="A63" s="663" t="s">
        <v>371</v>
      </c>
      <c r="B63" s="46"/>
      <c r="C63" s="47"/>
      <c r="D63" s="47"/>
    </row>
    <row r="64" spans="1:4" x14ac:dyDescent="0.35">
      <c r="A64" s="663" t="s">
        <v>372</v>
      </c>
      <c r="B64" s="46"/>
      <c r="C64" s="47"/>
      <c r="D64" s="47"/>
    </row>
    <row r="65" spans="1:4" x14ac:dyDescent="0.35">
      <c r="A65" s="664" t="s">
        <v>373</v>
      </c>
      <c r="B65" s="46"/>
      <c r="C65" s="50"/>
      <c r="D65" s="613" t="s">
        <v>383</v>
      </c>
    </row>
    <row r="66" spans="1:4" x14ac:dyDescent="0.35">
      <c r="A66" s="614"/>
    </row>
    <row r="399" spans="8:9" x14ac:dyDescent="0.35">
      <c r="H399" s="39">
        <v>135.4</v>
      </c>
      <c r="I399" s="39">
        <v>140.9</v>
      </c>
    </row>
    <row r="400" spans="8:9" x14ac:dyDescent="0.35">
      <c r="H400" s="39">
        <v>27088.9</v>
      </c>
      <c r="I400" s="39">
        <v>28171.4</v>
      </c>
    </row>
  </sheetData>
  <autoFilter ref="A13:I60"/>
  <mergeCells count="4">
    <mergeCell ref="C11:D11"/>
    <mergeCell ref="A11:A12"/>
    <mergeCell ref="B11:B12"/>
    <mergeCell ref="A8:D8"/>
  </mergeCells>
  <printOptions horizontalCentered="1"/>
  <pageMargins left="1.1811023622047245" right="0.39370078740157483" top="0.6692913385826772" bottom="0.39370078740157483" header="0.31496062992125984" footer="0"/>
  <pageSetup paperSize="9" scale="62" orientation="portrait" blackAndWhite="1" r:id="rId1"/>
  <headerFooter differentFirst="1">
    <oddHeader>&amp;C&amp;"Times New Roman,обычный"&amp;P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66"/>
  <sheetViews>
    <sheetView zoomScale="90" zoomScaleNormal="90" zoomScaleSheetLayoutView="80" workbookViewId="0">
      <selection activeCell="M7" sqref="M7"/>
    </sheetView>
  </sheetViews>
  <sheetFormatPr defaultColWidth="9.109375" defaultRowHeight="18" x14ac:dyDescent="0.35"/>
  <cols>
    <col min="1" max="1" width="6.109375" style="279" customWidth="1"/>
    <col min="2" max="2" width="9.109375" style="279" customWidth="1"/>
    <col min="3" max="3" width="59.88671875" style="279" customWidth="1"/>
    <col min="4" max="4" width="18.6640625" style="280" customWidth="1"/>
    <col min="5" max="5" width="15.33203125" style="279" customWidth="1"/>
    <col min="6" max="6" width="14.33203125" style="279" customWidth="1"/>
    <col min="7" max="7" width="11.109375" style="279" hidden="1" customWidth="1"/>
    <col min="8" max="9" width="11.33203125" style="279" hidden="1" customWidth="1"/>
    <col min="10" max="16384" width="9.109375" style="279"/>
  </cols>
  <sheetData>
    <row r="1" spans="1:9" x14ac:dyDescent="0.35">
      <c r="F1" s="158" t="s">
        <v>484</v>
      </c>
    </row>
    <row r="2" spans="1:9" x14ac:dyDescent="0.35">
      <c r="F2" s="158" t="s">
        <v>697</v>
      </c>
    </row>
    <row r="4" spans="1:9" x14ac:dyDescent="0.35">
      <c r="F4" s="158" t="s">
        <v>588</v>
      </c>
    </row>
    <row r="5" spans="1:9" x14ac:dyDescent="0.35">
      <c r="F5" s="158" t="s">
        <v>630</v>
      </c>
    </row>
    <row r="6" spans="1:9" x14ac:dyDescent="0.35">
      <c r="F6" s="158"/>
    </row>
    <row r="8" spans="1:9" x14ac:dyDescent="0.35">
      <c r="A8" s="699" t="s">
        <v>156</v>
      </c>
      <c r="B8" s="699"/>
      <c r="C8" s="699"/>
      <c r="D8" s="699"/>
      <c r="E8" s="699"/>
      <c r="F8" s="699"/>
    </row>
    <row r="9" spans="1:9" x14ac:dyDescent="0.35">
      <c r="A9" s="699" t="s">
        <v>570</v>
      </c>
      <c r="B9" s="699"/>
      <c r="C9" s="699"/>
      <c r="D9" s="699"/>
      <c r="E9" s="699"/>
      <c r="F9" s="699"/>
    </row>
    <row r="10" spans="1:9" x14ac:dyDescent="0.35">
      <c r="D10" s="279"/>
    </row>
    <row r="11" spans="1:9" x14ac:dyDescent="0.35">
      <c r="D11" s="279"/>
      <c r="F11" s="281" t="s">
        <v>21</v>
      </c>
    </row>
    <row r="12" spans="1:9" ht="22.95" customHeight="1" x14ac:dyDescent="0.35">
      <c r="A12" s="700" t="s">
        <v>157</v>
      </c>
      <c r="B12" s="702" t="s">
        <v>320</v>
      </c>
      <c r="C12" s="702" t="s">
        <v>23</v>
      </c>
      <c r="D12" s="696" t="s">
        <v>15</v>
      </c>
      <c r="E12" s="697"/>
      <c r="F12" s="698"/>
    </row>
    <row r="13" spans="1:9" x14ac:dyDescent="0.35">
      <c r="A13" s="701"/>
      <c r="B13" s="703"/>
      <c r="C13" s="703"/>
      <c r="D13" s="188" t="s">
        <v>477</v>
      </c>
      <c r="E13" s="188" t="s">
        <v>527</v>
      </c>
      <c r="F13" s="188" t="s">
        <v>568</v>
      </c>
    </row>
    <row r="14" spans="1:9" x14ac:dyDescent="0.35">
      <c r="A14" s="226">
        <v>1</v>
      </c>
      <c r="B14" s="226">
        <v>2</v>
      </c>
      <c r="C14" s="226">
        <v>3</v>
      </c>
      <c r="D14" s="227">
        <v>4</v>
      </c>
      <c r="E14" s="300">
        <v>5</v>
      </c>
      <c r="F14" s="300">
        <v>6</v>
      </c>
    </row>
    <row r="15" spans="1:9" x14ac:dyDescent="0.35">
      <c r="A15" s="245"/>
      <c r="B15" s="245"/>
      <c r="C15" s="283" t="s">
        <v>158</v>
      </c>
      <c r="D15" s="284">
        <f>D17+D24+D27+D31+D34+D41+D44+D56+D49+D59+D54</f>
        <v>2429707.2739700004</v>
      </c>
      <c r="E15" s="284">
        <f>E17+E24+E27+E31+E34+E41+E44+E56+E49+E59</f>
        <v>2079560.3999999994</v>
      </c>
      <c r="F15" s="284">
        <f>F17+F24+F27+F31+F34+F41+F44+F56+F49+F59</f>
        <v>2148415</v>
      </c>
      <c r="G15" s="285">
        <f>D15-'прил8 (ведом 24)'!M14</f>
        <v>1.0000000707805157E-2</v>
      </c>
      <c r="H15" s="285">
        <f>E15-'прил9 (ведом 25-26)'!M16</f>
        <v>0</v>
      </c>
      <c r="I15" s="285">
        <f>F15-'прил9 (ведом 25-26)'!N16</f>
        <v>0</v>
      </c>
    </row>
    <row r="16" spans="1:9" x14ac:dyDescent="0.35">
      <c r="A16" s="245"/>
      <c r="B16" s="245"/>
      <c r="C16" s="286" t="s">
        <v>159</v>
      </c>
      <c r="D16" s="203"/>
      <c r="E16" s="296"/>
      <c r="F16" s="282"/>
    </row>
    <row r="17" spans="1:8" x14ac:dyDescent="0.35">
      <c r="A17" s="229">
        <v>1</v>
      </c>
      <c r="B17" s="287" t="s">
        <v>160</v>
      </c>
      <c r="C17" s="288" t="s">
        <v>35</v>
      </c>
      <c r="D17" s="231">
        <f>SUM(D18:D23)</f>
        <v>267024.25641999999</v>
      </c>
      <c r="E17" s="231">
        <f>SUM(E18:E23)</f>
        <v>255064.82529999997</v>
      </c>
      <c r="F17" s="231">
        <f>SUM(F18:F23)</f>
        <v>245988.40590000001</v>
      </c>
    </row>
    <row r="18" spans="1:8" ht="54" x14ac:dyDescent="0.35">
      <c r="A18" s="232"/>
      <c r="B18" s="201" t="s">
        <v>161</v>
      </c>
      <c r="C18" s="202" t="s">
        <v>162</v>
      </c>
      <c r="D18" s="203">
        <f>'прил8 (ведом 24)'!M773</f>
        <v>2638.4</v>
      </c>
      <c r="E18" s="198">
        <f>'прил9 (ведом 25-26)'!M578</f>
        <v>2716.7</v>
      </c>
      <c r="F18" s="198">
        <f>'прил9 (ведом 25-26)'!N578</f>
        <v>2716.7</v>
      </c>
    </row>
    <row r="19" spans="1:8" ht="72" x14ac:dyDescent="0.35">
      <c r="A19" s="232"/>
      <c r="B19" s="201" t="s">
        <v>163</v>
      </c>
      <c r="C19" s="202" t="s">
        <v>605</v>
      </c>
      <c r="D19" s="203">
        <f>'прил8 (ведом 24)'!M774+0.01</f>
        <v>85318.283999999985</v>
      </c>
      <c r="E19" s="198">
        <f>'прил9 (ведом 25-26)'!M579</f>
        <v>87889.5</v>
      </c>
      <c r="F19" s="198">
        <f>'прил9 (ведом 25-26)'!N579</f>
        <v>87889.5</v>
      </c>
    </row>
    <row r="20" spans="1:8" x14ac:dyDescent="0.35">
      <c r="A20" s="232"/>
      <c r="B20" s="201" t="s">
        <v>384</v>
      </c>
      <c r="C20" s="215" t="s">
        <v>379</v>
      </c>
      <c r="D20" s="203">
        <f>'прил8 (ведом 24)'!M775</f>
        <v>8.6</v>
      </c>
      <c r="E20" s="198">
        <f>'прил9 (ведом 25-26)'!M580</f>
        <v>8.9</v>
      </c>
      <c r="F20" s="198">
        <f>'прил9 (ведом 25-26)'!N580</f>
        <v>85.9</v>
      </c>
    </row>
    <row r="21" spans="1:8" ht="54" x14ac:dyDescent="0.35">
      <c r="A21" s="232"/>
      <c r="B21" s="201" t="s">
        <v>164</v>
      </c>
      <c r="C21" s="202" t="s">
        <v>127</v>
      </c>
      <c r="D21" s="203">
        <f>'прил8 (ведом 24)'!M776</f>
        <v>39489.199999999997</v>
      </c>
      <c r="E21" s="198">
        <f>'прил9 (ведом 25-26)'!M581</f>
        <v>40609.699999999997</v>
      </c>
      <c r="F21" s="198">
        <f>'прил9 (ведом 25-26)'!N581</f>
        <v>40610.600000000006</v>
      </c>
    </row>
    <row r="22" spans="1:8" x14ac:dyDescent="0.35">
      <c r="A22" s="232"/>
      <c r="B22" s="201" t="s">
        <v>165</v>
      </c>
      <c r="C22" s="202" t="s">
        <v>64</v>
      </c>
      <c r="D22" s="203">
        <f>'прил8 (ведом 24)'!M777</f>
        <v>20349.809049999996</v>
      </c>
      <c r="E22" s="198">
        <f>'прил9 (ведом 25-26)'!M582</f>
        <v>25000</v>
      </c>
      <c r="F22" s="198">
        <f>'прил9 (ведом 25-26)'!N582</f>
        <v>15000</v>
      </c>
    </row>
    <row r="23" spans="1:8" x14ac:dyDescent="0.35">
      <c r="A23" s="232"/>
      <c r="B23" s="201" t="s">
        <v>166</v>
      </c>
      <c r="C23" s="202" t="s">
        <v>68</v>
      </c>
      <c r="D23" s="203">
        <f>'прил8 (ведом 24)'!M778</f>
        <v>119219.96336999998</v>
      </c>
      <c r="E23" s="198">
        <f>'прил9 (ведом 25-26)'!M583</f>
        <v>98840.025299999994</v>
      </c>
      <c r="F23" s="198">
        <f>'прил9 (ведом 25-26)'!N583</f>
        <v>99685.705900000001</v>
      </c>
    </row>
    <row r="24" spans="1:8" ht="35.4" x14ac:dyDescent="0.35">
      <c r="A24" s="229">
        <v>2</v>
      </c>
      <c r="B24" s="287" t="s">
        <v>167</v>
      </c>
      <c r="C24" s="288" t="s">
        <v>76</v>
      </c>
      <c r="D24" s="231">
        <f>SUM(D25:D26)</f>
        <v>25632.83913</v>
      </c>
      <c r="E24" s="231">
        <f>SUM(E25:E26)</f>
        <v>14790.1</v>
      </c>
      <c r="F24" s="231">
        <f>SUM(F25:F26)</f>
        <v>14790.6</v>
      </c>
    </row>
    <row r="25" spans="1:8" ht="54" x14ac:dyDescent="0.35">
      <c r="A25" s="232"/>
      <c r="B25" s="201" t="s">
        <v>451</v>
      </c>
      <c r="C25" s="202" t="s">
        <v>452</v>
      </c>
      <c r="D25" s="203">
        <f>'прил8 (ведом 24)'!M781</f>
        <v>11531.6</v>
      </c>
      <c r="E25" s="198">
        <f>'прил9 (ведом 25-26)'!M586</f>
        <v>362.29999999999995</v>
      </c>
      <c r="F25" s="198">
        <f>'прил9 (ведом 25-26)'!N586</f>
        <v>362.29999999999995</v>
      </c>
    </row>
    <row r="26" spans="1:8" ht="36" x14ac:dyDescent="0.35">
      <c r="A26" s="232"/>
      <c r="B26" s="201" t="s">
        <v>168</v>
      </c>
      <c r="C26" s="202" t="s">
        <v>85</v>
      </c>
      <c r="D26" s="203">
        <f>'прил8 (ведом 24)'!M782</f>
        <v>14101.23913</v>
      </c>
      <c r="E26" s="198">
        <f>'прил9 (ведом 25-26)'!M587</f>
        <v>14427.800000000001</v>
      </c>
      <c r="F26" s="198">
        <f>'прил9 (ведом 25-26)'!N587</f>
        <v>14428.300000000001</v>
      </c>
    </row>
    <row r="27" spans="1:8" x14ac:dyDescent="0.35">
      <c r="A27" s="229">
        <v>3</v>
      </c>
      <c r="B27" s="287" t="s">
        <v>169</v>
      </c>
      <c r="C27" s="288" t="s">
        <v>90</v>
      </c>
      <c r="D27" s="231">
        <f>SUM(D28:D30)</f>
        <v>38117.616889999998</v>
      </c>
      <c r="E27" s="231">
        <f>SUM(E28:E30)</f>
        <v>32348.299999999996</v>
      </c>
      <c r="F27" s="231">
        <f>SUM(F28:F30)</f>
        <v>32769.4</v>
      </c>
      <c r="H27" s="438"/>
    </row>
    <row r="28" spans="1:8" x14ac:dyDescent="0.35">
      <c r="A28" s="229"/>
      <c r="B28" s="201" t="s">
        <v>170</v>
      </c>
      <c r="C28" s="202" t="s">
        <v>91</v>
      </c>
      <c r="D28" s="203">
        <f>'прил8 (ведом 24)'!M785</f>
        <v>24038.799999999999</v>
      </c>
      <c r="E28" s="198">
        <f>'прил9 (ведом 25-26)'!M590</f>
        <v>24038.799999999999</v>
      </c>
      <c r="F28" s="198">
        <f>'прил9 (ведом 25-26)'!N590</f>
        <v>24170.7</v>
      </c>
    </row>
    <row r="29" spans="1:8" x14ac:dyDescent="0.35">
      <c r="A29" s="232"/>
      <c r="B29" s="201" t="s">
        <v>171</v>
      </c>
      <c r="C29" s="202" t="s">
        <v>96</v>
      </c>
      <c r="D29" s="203">
        <f>'прил8 (ведом 24)'!M786</f>
        <v>10949.71689</v>
      </c>
      <c r="E29" s="198">
        <f>'прил9 (ведом 25-26)'!M591</f>
        <v>7183.4</v>
      </c>
      <c r="F29" s="198">
        <f>'прил9 (ведом 25-26)'!N591</f>
        <v>7472.6</v>
      </c>
    </row>
    <row r="30" spans="1:8" x14ac:dyDescent="0.35">
      <c r="A30" s="232"/>
      <c r="B30" s="201" t="s">
        <v>172</v>
      </c>
      <c r="C30" s="202" t="s">
        <v>104</v>
      </c>
      <c r="D30" s="203">
        <f>'прил8 (ведом 24)'!M787</f>
        <v>3129.1</v>
      </c>
      <c r="E30" s="198">
        <f>'прил9 (ведом 25-26)'!M592</f>
        <v>1126.0999999999999</v>
      </c>
      <c r="F30" s="198">
        <f>'прил9 (ведом 25-26)'!N592</f>
        <v>1126.0999999999999</v>
      </c>
      <c r="G30" s="438"/>
    </row>
    <row r="31" spans="1:8" x14ac:dyDescent="0.35">
      <c r="A31" s="229">
        <v>4</v>
      </c>
      <c r="B31" s="287" t="s">
        <v>173</v>
      </c>
      <c r="C31" s="288" t="s">
        <v>174</v>
      </c>
      <c r="D31" s="231">
        <f>SUM(D32:D33)</f>
        <v>103186.1</v>
      </c>
      <c r="E31" s="231">
        <f>SUM(E32:E33)</f>
        <v>0</v>
      </c>
      <c r="F31" s="231">
        <f>SUM(F32:F33)</f>
        <v>0</v>
      </c>
    </row>
    <row r="32" spans="1:8" x14ac:dyDescent="0.35">
      <c r="A32" s="229"/>
      <c r="B32" s="201" t="s">
        <v>331</v>
      </c>
      <c r="C32" s="202" t="s">
        <v>329</v>
      </c>
      <c r="D32" s="203">
        <f>'прил8 (ведом 24)'!M791</f>
        <v>97055</v>
      </c>
      <c r="E32" s="203">
        <f>'прил9 (ведом 25-26)'!M596</f>
        <v>0</v>
      </c>
      <c r="F32" s="203">
        <f>'прил9 (ведом 25-26)'!N596</f>
        <v>0</v>
      </c>
    </row>
    <row r="33" spans="1:6" x14ac:dyDescent="0.35">
      <c r="A33" s="229"/>
      <c r="B33" s="201" t="s">
        <v>540</v>
      </c>
      <c r="C33" s="578" t="s">
        <v>538</v>
      </c>
      <c r="D33" s="203">
        <f>'прил8 (ведом 24)'!M793</f>
        <v>6131.1</v>
      </c>
      <c r="E33" s="203">
        <f>'прил9 (ведом 25-26)'!M597</f>
        <v>0</v>
      </c>
      <c r="F33" s="203">
        <f>'прил9 (ведом 25-26)'!N597</f>
        <v>0</v>
      </c>
    </row>
    <row r="34" spans="1:6" x14ac:dyDescent="0.35">
      <c r="A34" s="229">
        <v>5</v>
      </c>
      <c r="B34" s="287" t="s">
        <v>175</v>
      </c>
      <c r="C34" s="288" t="s">
        <v>176</v>
      </c>
      <c r="D34" s="231">
        <f>SUM(D35:D40)</f>
        <v>1594378.2734300001</v>
      </c>
      <c r="E34" s="231">
        <f>SUM(E35:E40)</f>
        <v>1463406.4999999998</v>
      </c>
      <c r="F34" s="231">
        <f>SUM(F35:F40)</f>
        <v>1493437.3</v>
      </c>
    </row>
    <row r="35" spans="1:6" x14ac:dyDescent="0.35">
      <c r="A35" s="232"/>
      <c r="B35" s="201" t="s">
        <v>177</v>
      </c>
      <c r="C35" s="202" t="s">
        <v>178</v>
      </c>
      <c r="D35" s="203">
        <f>'прил8 (ведом 24)'!M796</f>
        <v>463129.82999999996</v>
      </c>
      <c r="E35" s="203">
        <f>'прил9 (ведом 25-26)'!M600</f>
        <v>438087.69999999995</v>
      </c>
      <c r="F35" s="203">
        <f>'прил9 (ведом 25-26)'!N600</f>
        <v>448407.1</v>
      </c>
    </row>
    <row r="36" spans="1:6" x14ac:dyDescent="0.35">
      <c r="A36" s="232"/>
      <c r="B36" s="201" t="s">
        <v>179</v>
      </c>
      <c r="C36" s="202" t="s">
        <v>180</v>
      </c>
      <c r="D36" s="203">
        <f>'прил8 (ведом 24)'!M797</f>
        <v>863526.89342999994</v>
      </c>
      <c r="E36" s="203">
        <f>'прил9 (ведом 25-26)'!M601</f>
        <v>787496.89999999991</v>
      </c>
      <c r="F36" s="203">
        <f>'прил9 (ведом 25-26)'!N601</f>
        <v>807394.70000000007</v>
      </c>
    </row>
    <row r="37" spans="1:6" x14ac:dyDescent="0.35">
      <c r="A37" s="232"/>
      <c r="B37" s="201" t="s">
        <v>344</v>
      </c>
      <c r="C37" s="202" t="s">
        <v>345</v>
      </c>
      <c r="D37" s="203">
        <f>'прил8 (ведом 24)'!M798</f>
        <v>155981.59999999998</v>
      </c>
      <c r="E37" s="203">
        <f>'прил9 (ведом 25-26)'!M602</f>
        <v>136274.90000000002</v>
      </c>
      <c r="F37" s="203">
        <f>'прил9 (ведом 25-26)'!N602</f>
        <v>135431.1</v>
      </c>
    </row>
    <row r="38" spans="1:6" ht="36" x14ac:dyDescent="0.35">
      <c r="A38" s="232"/>
      <c r="B38" s="201" t="s">
        <v>493</v>
      </c>
      <c r="C38" s="202" t="s">
        <v>494</v>
      </c>
      <c r="D38" s="203">
        <f>'прил8 (ведом 24)'!M799</f>
        <v>400.5</v>
      </c>
      <c r="E38" s="203">
        <f>'прил9 (ведом 25-26)'!M603</f>
        <v>179.89999999999998</v>
      </c>
      <c r="F38" s="203">
        <f>'прил9 (ведом 25-26)'!N603</f>
        <v>179.89999999999998</v>
      </c>
    </row>
    <row r="39" spans="1:6" x14ac:dyDescent="0.35">
      <c r="A39" s="229"/>
      <c r="B39" s="201" t="s">
        <v>181</v>
      </c>
      <c r="C39" s="202" t="s">
        <v>346</v>
      </c>
      <c r="D39" s="203">
        <f>'прил8 (ведом 24)'!M800</f>
        <v>6414.5999999999995</v>
      </c>
      <c r="E39" s="203">
        <f>'прил9 (ведом 25-26)'!M604</f>
        <v>4526.8999999999996</v>
      </c>
      <c r="F39" s="203">
        <f>'прил9 (ведом 25-26)'!N604</f>
        <v>4526.8999999999996</v>
      </c>
    </row>
    <row r="40" spans="1:6" x14ac:dyDescent="0.35">
      <c r="A40" s="232"/>
      <c r="B40" s="201" t="s">
        <v>182</v>
      </c>
      <c r="C40" s="202" t="s">
        <v>183</v>
      </c>
      <c r="D40" s="203">
        <f>'прил8 (ведом 24)'!M801</f>
        <v>104924.85000000003</v>
      </c>
      <c r="E40" s="203">
        <f>'прил9 (ведом 25-26)'!M605</f>
        <v>96840.200000000012</v>
      </c>
      <c r="F40" s="203">
        <f>'прил9 (ведом 25-26)'!N605</f>
        <v>97497.600000000006</v>
      </c>
    </row>
    <row r="41" spans="1:6" x14ac:dyDescent="0.35">
      <c r="A41" s="229">
        <v>6</v>
      </c>
      <c r="B41" s="287" t="s">
        <v>184</v>
      </c>
      <c r="C41" s="288" t="s">
        <v>185</v>
      </c>
      <c r="D41" s="231">
        <f>SUM(D42:D43)</f>
        <v>53550.3</v>
      </c>
      <c r="E41" s="231">
        <f>SUM(E42:E43)</f>
        <v>44213</v>
      </c>
      <c r="F41" s="231">
        <f>SUM(F42:F43)</f>
        <v>44197</v>
      </c>
    </row>
    <row r="42" spans="1:6" x14ac:dyDescent="0.35">
      <c r="A42" s="232"/>
      <c r="B42" s="201" t="s">
        <v>186</v>
      </c>
      <c r="C42" s="202" t="s">
        <v>187</v>
      </c>
      <c r="D42" s="203">
        <f>'прил8 (ведом 24)'!M804</f>
        <v>38812.600000000006</v>
      </c>
      <c r="E42" s="203">
        <f>'прил9 (ведом 25-26)'!M608</f>
        <v>32058.3</v>
      </c>
      <c r="F42" s="203">
        <f>'прил9 (ведом 25-26)'!N608</f>
        <v>32037.599999999999</v>
      </c>
    </row>
    <row r="43" spans="1:6" ht="18.75" customHeight="1" x14ac:dyDescent="0.35">
      <c r="A43" s="232"/>
      <c r="B43" s="201" t="s">
        <v>188</v>
      </c>
      <c r="C43" s="202" t="s">
        <v>189</v>
      </c>
      <c r="D43" s="203">
        <f>'прил8 (ведом 24)'!M805</f>
        <v>14737.699999999997</v>
      </c>
      <c r="E43" s="198">
        <f>'прил9 (ведом 25-26)'!M609</f>
        <v>12154.7</v>
      </c>
      <c r="F43" s="198">
        <f>'прил9 (ведом 25-26)'!N609</f>
        <v>12159.400000000001</v>
      </c>
    </row>
    <row r="44" spans="1:6" s="289" customFormat="1" ht="17.399999999999999" x14ac:dyDescent="0.3">
      <c r="A44" s="229">
        <v>7</v>
      </c>
      <c r="B44" s="229">
        <v>1000</v>
      </c>
      <c r="C44" s="288" t="s">
        <v>117</v>
      </c>
      <c r="D44" s="231">
        <f>SUM(D45:D48)</f>
        <v>166102.47809999998</v>
      </c>
      <c r="E44" s="231">
        <f>SUM(E45:E48)</f>
        <v>149320.97469999999</v>
      </c>
      <c r="F44" s="231">
        <f>SUM(F45:F48)</f>
        <v>148595.09409999999</v>
      </c>
    </row>
    <row r="45" spans="1:6" x14ac:dyDescent="0.35">
      <c r="A45" s="232"/>
      <c r="B45" s="232">
        <v>1001</v>
      </c>
      <c r="C45" s="202" t="s">
        <v>351</v>
      </c>
      <c r="D45" s="203">
        <f>'прил8 (ведом 24)'!M808</f>
        <v>1846.5</v>
      </c>
      <c r="E45" s="203">
        <f>'прил9 (ведом 25-26)'!M612</f>
        <v>1500</v>
      </c>
      <c r="F45" s="203">
        <f>'прил9 (ведом 25-26)'!N612</f>
        <v>1500</v>
      </c>
    </row>
    <row r="46" spans="1:6" x14ac:dyDescent="0.35">
      <c r="A46" s="232"/>
      <c r="B46" s="232">
        <v>1004</v>
      </c>
      <c r="C46" s="202" t="s">
        <v>190</v>
      </c>
      <c r="D46" s="203">
        <f>'прил8 (ведом 24)'!M810</f>
        <v>149058.57809999998</v>
      </c>
      <c r="E46" s="203">
        <f>'прил9 (ведом 25-26)'!M613</f>
        <v>137301.5747</v>
      </c>
      <c r="F46" s="203">
        <f>'прил9 (ведом 25-26)'!N613</f>
        <v>136049.99409999998</v>
      </c>
    </row>
    <row r="47" spans="1:6" x14ac:dyDescent="0.35">
      <c r="A47" s="232"/>
      <c r="B47" s="232">
        <v>1003</v>
      </c>
      <c r="C47" s="202" t="s">
        <v>680</v>
      </c>
      <c r="D47" s="203">
        <f>'прил8 (ведом 24)'!M809</f>
        <v>2779.5</v>
      </c>
      <c r="E47" s="203">
        <v>0</v>
      </c>
      <c r="F47" s="203">
        <v>0</v>
      </c>
    </row>
    <row r="48" spans="1:6" x14ac:dyDescent="0.35">
      <c r="A48" s="232"/>
      <c r="B48" s="232">
        <v>1006</v>
      </c>
      <c r="C48" s="202" t="s">
        <v>191</v>
      </c>
      <c r="D48" s="203">
        <f>'прил8 (ведом 24)'!M811</f>
        <v>12417.9</v>
      </c>
      <c r="E48" s="203">
        <f>'прил9 (ведом 25-26)'!M614</f>
        <v>10519.4</v>
      </c>
      <c r="F48" s="203">
        <f>'прил9 (ведом 25-26)'!N614</f>
        <v>11045.1</v>
      </c>
    </row>
    <row r="49" spans="1:8" x14ac:dyDescent="0.35">
      <c r="A49" s="229">
        <v>8</v>
      </c>
      <c r="B49" s="290">
        <v>1100</v>
      </c>
      <c r="C49" s="283" t="s">
        <v>192</v>
      </c>
      <c r="D49" s="231">
        <f>SUM(D50:D53)</f>
        <v>142364.41000000003</v>
      </c>
      <c r="E49" s="231">
        <f>SUM(E50:E53)</f>
        <v>67318</v>
      </c>
      <c r="F49" s="231">
        <f>SUM(F50:F53)</f>
        <v>66197.099999999991</v>
      </c>
    </row>
    <row r="50" spans="1:8" x14ac:dyDescent="0.35">
      <c r="A50" s="232"/>
      <c r="B50" s="291">
        <v>1101</v>
      </c>
      <c r="C50" s="292" t="s">
        <v>356</v>
      </c>
      <c r="D50" s="203">
        <f>'прил8 (ведом 24)'!M814</f>
        <v>32200.2</v>
      </c>
      <c r="E50" s="203">
        <f>'прил9 (ведом 25-26)'!M617</f>
        <v>4767.8999999999996</v>
      </c>
      <c r="F50" s="203">
        <f>'прил9 (ведом 25-26)'!N617</f>
        <v>4787.5999999999995</v>
      </c>
    </row>
    <row r="51" spans="1:8" x14ac:dyDescent="0.35">
      <c r="A51" s="229"/>
      <c r="B51" s="201" t="s">
        <v>193</v>
      </c>
      <c r="C51" s="234" t="s">
        <v>194</v>
      </c>
      <c r="D51" s="203">
        <f>'прил8 (ведом 24)'!M815</f>
        <v>31407.3</v>
      </c>
      <c r="E51" s="203">
        <f>'прил9 (ведом 25-26)'!M618</f>
        <v>910.6</v>
      </c>
      <c r="F51" s="203">
        <f>'прил9 (ведом 25-26)'!N618</f>
        <v>910.6</v>
      </c>
    </row>
    <row r="52" spans="1:8" x14ac:dyDescent="0.35">
      <c r="A52" s="229"/>
      <c r="B52" s="201" t="s">
        <v>559</v>
      </c>
      <c r="C52" s="234" t="s">
        <v>558</v>
      </c>
      <c r="D52" s="203">
        <f>'прил8 (ведом 24)'!M816</f>
        <v>75668.210000000006</v>
      </c>
      <c r="E52" s="203">
        <f>'прил9 (ведом 25-26)'!M619</f>
        <v>58459.7</v>
      </c>
      <c r="F52" s="203">
        <f>'прил9 (ведом 25-26)'!N619</f>
        <v>57318</v>
      </c>
    </row>
    <row r="53" spans="1:8" ht="36" x14ac:dyDescent="0.35">
      <c r="A53" s="232"/>
      <c r="B53" s="201" t="s">
        <v>195</v>
      </c>
      <c r="C53" s="239" t="s">
        <v>196</v>
      </c>
      <c r="D53" s="203">
        <f>'прил8 (ведом 24)'!M817</f>
        <v>3088.7000000000003</v>
      </c>
      <c r="E53" s="198">
        <f>'прил9 (ведом 25-26)'!M620</f>
        <v>3179.7999999999997</v>
      </c>
      <c r="F53" s="198">
        <f>'прил9 (ведом 25-26)'!N620</f>
        <v>3180.9</v>
      </c>
    </row>
    <row r="54" spans="1:8" ht="35.4" x14ac:dyDescent="0.35">
      <c r="A54" s="229">
        <v>9</v>
      </c>
      <c r="B54" s="287" t="s">
        <v>598</v>
      </c>
      <c r="C54" s="621" t="s">
        <v>592</v>
      </c>
      <c r="D54" s="231">
        <f>D55</f>
        <v>36</v>
      </c>
      <c r="E54" s="231">
        <f t="shared" ref="E54:F54" si="0">E55</f>
        <v>0</v>
      </c>
      <c r="F54" s="231">
        <f t="shared" si="0"/>
        <v>0</v>
      </c>
    </row>
    <row r="55" spans="1:8" ht="36" x14ac:dyDescent="0.35">
      <c r="A55" s="232"/>
      <c r="B55" s="201" t="s">
        <v>599</v>
      </c>
      <c r="C55" s="239" t="s">
        <v>593</v>
      </c>
      <c r="D55" s="203">
        <f>'прил8 (ведом 24)'!M820</f>
        <v>36</v>
      </c>
      <c r="E55" s="198">
        <v>0</v>
      </c>
      <c r="F55" s="198">
        <v>0</v>
      </c>
    </row>
    <row r="56" spans="1:8" ht="52.8" x14ac:dyDescent="0.35">
      <c r="A56" s="229">
        <v>10</v>
      </c>
      <c r="B56" s="290">
        <v>1400</v>
      </c>
      <c r="C56" s="288" t="s">
        <v>197</v>
      </c>
      <c r="D56" s="293">
        <f>SUM(D57:D58)</f>
        <v>39315</v>
      </c>
      <c r="E56" s="293">
        <f t="shared" ref="E56:F56" si="1">SUM(E57:E58)</f>
        <v>9000</v>
      </c>
      <c r="F56" s="293">
        <f t="shared" si="1"/>
        <v>9000</v>
      </c>
    </row>
    <row r="57" spans="1:8" ht="54" x14ac:dyDescent="0.35">
      <c r="A57" s="294"/>
      <c r="B57" s="291">
        <v>1401</v>
      </c>
      <c r="C57" s="202" t="s">
        <v>198</v>
      </c>
      <c r="D57" s="295">
        <f>'прил8 (ведом 24)'!M823</f>
        <v>9000</v>
      </c>
      <c r="E57" s="237">
        <f>'прил9 (ведом 25-26)'!M626</f>
        <v>9000</v>
      </c>
      <c r="F57" s="237">
        <f>'прил9 (ведом 25-26)'!N626</f>
        <v>9000</v>
      </c>
    </row>
    <row r="58" spans="1:8" ht="36" x14ac:dyDescent="0.35">
      <c r="A58" s="294"/>
      <c r="B58" s="291">
        <v>1403</v>
      </c>
      <c r="C58" s="202" t="s">
        <v>661</v>
      </c>
      <c r="D58" s="295">
        <f>'прил8 (ведом 24)'!M825</f>
        <v>30315</v>
      </c>
      <c r="E58" s="237">
        <v>0</v>
      </c>
      <c r="F58" s="237">
        <v>0</v>
      </c>
    </row>
    <row r="59" spans="1:8" s="204" customFormat="1" ht="17.399999999999999" x14ac:dyDescent="0.3">
      <c r="A59" s="228">
        <v>11</v>
      </c>
      <c r="B59" s="230"/>
      <c r="C59" s="199" t="s">
        <v>358</v>
      </c>
      <c r="D59" s="235">
        <f>SUM(D60:D60)</f>
        <v>0</v>
      </c>
      <c r="E59" s="235">
        <f>SUM(E60:E60)</f>
        <v>44098.7</v>
      </c>
      <c r="F59" s="235">
        <f>SUM(F60:F60)</f>
        <v>93440.1</v>
      </c>
    </row>
    <row r="60" spans="1:8" s="204" customFormat="1" x14ac:dyDescent="0.35">
      <c r="A60" s="236"/>
      <c r="B60" s="233"/>
      <c r="C60" s="200" t="s">
        <v>358</v>
      </c>
      <c r="D60" s="237">
        <v>0</v>
      </c>
      <c r="E60" s="237">
        <f>'прил9 (ведом 25-26)'!M629</f>
        <v>44098.7</v>
      </c>
      <c r="F60" s="237">
        <f>'прил9 (ведом 25-26)'!N629</f>
        <v>93440.1</v>
      </c>
    </row>
    <row r="62" spans="1:8" ht="22.95" customHeight="1" x14ac:dyDescent="0.35"/>
    <row r="63" spans="1:8" s="299" customFormat="1" x14ac:dyDescent="0.35">
      <c r="A63" s="663" t="s">
        <v>371</v>
      </c>
      <c r="B63" s="665"/>
      <c r="C63" s="297"/>
      <c r="D63" s="666"/>
      <c r="E63" s="297"/>
      <c r="F63" s="297"/>
      <c r="G63" s="48"/>
      <c r="H63" s="298"/>
    </row>
    <row r="64" spans="1:8" s="299" customFormat="1" x14ac:dyDescent="0.35">
      <c r="A64" s="663" t="s">
        <v>372</v>
      </c>
      <c r="B64" s="665"/>
      <c r="C64" s="297"/>
      <c r="D64" s="666"/>
      <c r="E64" s="297"/>
      <c r="F64" s="297"/>
      <c r="G64" s="48"/>
      <c r="H64" s="298"/>
    </row>
    <row r="65" spans="1:6" s="299" customFormat="1" x14ac:dyDescent="0.35">
      <c r="A65" s="664" t="s">
        <v>373</v>
      </c>
      <c r="B65" s="665"/>
      <c r="D65" s="667"/>
      <c r="E65" s="297"/>
      <c r="F65" s="613" t="s">
        <v>383</v>
      </c>
    </row>
    <row r="66" spans="1:6" x14ac:dyDescent="0.35">
      <c r="A66" s="609"/>
    </row>
  </sheetData>
  <autoFilter ref="A4:A65"/>
  <mergeCells count="6">
    <mergeCell ref="D12:F12"/>
    <mergeCell ref="A8:F8"/>
    <mergeCell ref="A9:F9"/>
    <mergeCell ref="A12:A13"/>
    <mergeCell ref="B12:B13"/>
    <mergeCell ref="C12:C13"/>
  </mergeCells>
  <printOptions horizontalCentered="1"/>
  <pageMargins left="1.1811023622047245" right="0.39370078740157483" top="0.78740157480314965" bottom="0.78740157480314965" header="0" footer="0"/>
  <pageSetup paperSize="9" scale="69" fitToHeight="0" orientation="portrait" blackAndWhite="1" r:id="rId1"/>
  <headerFooter differentFirst="1" alignWithMargins="0">
    <oddHeader>&amp;C&amp;"Times New Roman,обычный"&amp;12&amp;P</oddHeader>
  </headerFooter>
  <rowBreaks count="1" manualBreakCount="1">
    <brk id="4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J569"/>
  <sheetViews>
    <sheetView zoomScale="80" zoomScaleNormal="80" zoomScaleSheetLayoutView="80" workbookViewId="0">
      <pane xSplit="1" ySplit="6" topLeftCell="B7" activePane="bottomRight" state="frozen"/>
      <selection activeCell="D38" sqref="D38"/>
      <selection pane="topRight" activeCell="D38" sqref="D38"/>
      <selection pane="bottomLeft" activeCell="D38" sqref="D38"/>
      <selection pane="bottomRight" activeCell="L10" sqref="L10"/>
    </sheetView>
  </sheetViews>
  <sheetFormatPr defaultColWidth="9.109375" defaultRowHeight="15.6" x14ac:dyDescent="0.3"/>
  <cols>
    <col min="1" max="1" width="4.5546875" style="323" customWidth="1"/>
    <col min="2" max="2" width="62.44140625" style="395" customWidth="1"/>
    <col min="3" max="3" width="3.109375" style="396" customWidth="1"/>
    <col min="4" max="4" width="2" style="396" customWidth="1"/>
    <col min="5" max="5" width="3.109375" style="396" customWidth="1"/>
    <col min="6" max="6" width="8.6640625" style="396" customWidth="1"/>
    <col min="7" max="7" width="5.5546875" style="394" customWidth="1"/>
    <col min="8" max="8" width="15.6640625" style="324" customWidth="1"/>
    <col min="9" max="9" width="9.109375" style="50" customWidth="1"/>
    <col min="10" max="10" width="17.6640625" style="50" hidden="1" customWidth="1"/>
    <col min="11" max="14" width="9.109375" style="50"/>
    <col min="15" max="15" width="58.6640625" style="50" customWidth="1"/>
    <col min="16" max="16384" width="9.109375" style="50"/>
  </cols>
  <sheetData>
    <row r="1" spans="1:10" ht="18" x14ac:dyDescent="0.35">
      <c r="H1" s="158" t="s">
        <v>588</v>
      </c>
    </row>
    <row r="2" spans="1:10" ht="18" x14ac:dyDescent="0.35">
      <c r="H2" s="158" t="s">
        <v>697</v>
      </c>
    </row>
    <row r="4" spans="1:10" ht="18" x14ac:dyDescent="0.35">
      <c r="H4" s="158" t="s">
        <v>485</v>
      </c>
    </row>
    <row r="5" spans="1:10" ht="18" x14ac:dyDescent="0.35">
      <c r="H5" s="158" t="s">
        <v>630</v>
      </c>
    </row>
    <row r="6" spans="1:10" ht="18" x14ac:dyDescent="0.35">
      <c r="H6" s="158"/>
    </row>
    <row r="8" spans="1:10" ht="72" customHeight="1" x14ac:dyDescent="0.3">
      <c r="A8" s="704" t="s">
        <v>571</v>
      </c>
      <c r="B8" s="704"/>
      <c r="C8" s="704"/>
      <c r="D8" s="704"/>
      <c r="E8" s="704"/>
      <c r="F8" s="704"/>
      <c r="G8" s="704"/>
      <c r="H8" s="704"/>
    </row>
    <row r="9" spans="1:10" x14ac:dyDescent="0.3">
      <c r="A9" s="50"/>
      <c r="B9" s="50"/>
      <c r="C9" s="323"/>
      <c r="D9" s="323"/>
      <c r="E9" s="323"/>
      <c r="F9" s="323"/>
      <c r="G9" s="324"/>
    </row>
    <row r="10" spans="1:10" ht="18" x14ac:dyDescent="0.35">
      <c r="A10" s="325"/>
      <c r="B10" s="46"/>
      <c r="C10" s="47"/>
      <c r="D10" s="47"/>
      <c r="E10" s="47"/>
      <c r="F10" s="47"/>
      <c r="G10" s="50"/>
      <c r="H10" s="398" t="s">
        <v>21</v>
      </c>
    </row>
    <row r="11" spans="1:10" ht="37.200000000000003" customHeight="1" x14ac:dyDescent="0.3">
      <c r="A11" s="673" t="s">
        <v>22</v>
      </c>
      <c r="B11" s="674" t="s">
        <v>23</v>
      </c>
      <c r="C11" s="705" t="s">
        <v>27</v>
      </c>
      <c r="D11" s="706"/>
      <c r="E11" s="706"/>
      <c r="F11" s="707"/>
      <c r="G11" s="674" t="s">
        <v>28</v>
      </c>
      <c r="H11" s="399" t="s">
        <v>15</v>
      </c>
    </row>
    <row r="12" spans="1:10" ht="18" x14ac:dyDescent="0.35">
      <c r="A12" s="226">
        <v>1</v>
      </c>
      <c r="B12" s="328">
        <v>2</v>
      </c>
      <c r="C12" s="708" t="s">
        <v>29</v>
      </c>
      <c r="D12" s="709"/>
      <c r="E12" s="709"/>
      <c r="F12" s="710"/>
      <c r="G12" s="238" t="s">
        <v>30</v>
      </c>
      <c r="H12" s="227">
        <v>5</v>
      </c>
    </row>
    <row r="13" spans="1:10" ht="19.5" customHeight="1" x14ac:dyDescent="0.35">
      <c r="A13" s="329"/>
      <c r="B13" s="330" t="s">
        <v>199</v>
      </c>
      <c r="C13" s="331"/>
      <c r="D13" s="331"/>
      <c r="E13" s="331"/>
      <c r="F13" s="331"/>
      <c r="G13" s="332"/>
      <c r="H13" s="333">
        <f>H14+H151+H211+H252+H279+H310+H336+H372+H426+H435+H441+H451+H457+H463+H527+H544+H412+H521+H538</f>
        <v>2429707.2639700002</v>
      </c>
      <c r="J13" s="638">
        <f>H13-'прил8 (ведом 24)'!M14</f>
        <v>0</v>
      </c>
    </row>
    <row r="14" spans="1:10" s="339" customFormat="1" ht="52.2" x14ac:dyDescent="0.3">
      <c r="A14" s="335">
        <v>1</v>
      </c>
      <c r="B14" s="492" t="s">
        <v>202</v>
      </c>
      <c r="C14" s="336" t="s">
        <v>38</v>
      </c>
      <c r="D14" s="336" t="s">
        <v>41</v>
      </c>
      <c r="E14" s="336" t="s">
        <v>42</v>
      </c>
      <c r="F14" s="337" t="s">
        <v>43</v>
      </c>
      <c r="G14" s="338"/>
      <c r="H14" s="251">
        <f>H15+H86+H111</f>
        <v>1527381.9014299999</v>
      </c>
    </row>
    <row r="15" spans="1:10" ht="18" x14ac:dyDescent="0.35">
      <c r="A15" s="329"/>
      <c r="B15" s="493" t="s">
        <v>203</v>
      </c>
      <c r="C15" s="670" t="s">
        <v>38</v>
      </c>
      <c r="D15" s="670" t="s">
        <v>44</v>
      </c>
      <c r="E15" s="670" t="s">
        <v>42</v>
      </c>
      <c r="F15" s="671" t="s">
        <v>43</v>
      </c>
      <c r="G15" s="238"/>
      <c r="H15" s="217">
        <f>H16+H35+H82</f>
        <v>1332660.2234299998</v>
      </c>
    </row>
    <row r="16" spans="1:10" ht="18" x14ac:dyDescent="0.35">
      <c r="A16" s="329"/>
      <c r="B16" s="493" t="s">
        <v>263</v>
      </c>
      <c r="C16" s="208" t="s">
        <v>38</v>
      </c>
      <c r="D16" s="209" t="s">
        <v>44</v>
      </c>
      <c r="E16" s="209" t="s">
        <v>36</v>
      </c>
      <c r="F16" s="210" t="s">
        <v>43</v>
      </c>
      <c r="G16" s="238"/>
      <c r="H16" s="217">
        <f>H26+H29+H31+H17+H21+H19+H23+H33</f>
        <v>471512.42999999993</v>
      </c>
    </row>
    <row r="17" spans="1:8" ht="36" x14ac:dyDescent="0.35">
      <c r="A17" s="329"/>
      <c r="B17" s="493" t="s">
        <v>454</v>
      </c>
      <c r="C17" s="208" t="s">
        <v>38</v>
      </c>
      <c r="D17" s="209" t="s">
        <v>44</v>
      </c>
      <c r="E17" s="209" t="s">
        <v>36</v>
      </c>
      <c r="F17" s="210" t="s">
        <v>89</v>
      </c>
      <c r="G17" s="33"/>
      <c r="H17" s="217">
        <f>H18</f>
        <v>114625</v>
      </c>
    </row>
    <row r="18" spans="1:8" ht="36" x14ac:dyDescent="0.35">
      <c r="A18" s="329"/>
      <c r="B18" s="493" t="s">
        <v>74</v>
      </c>
      <c r="C18" s="208" t="s">
        <v>38</v>
      </c>
      <c r="D18" s="209" t="s">
        <v>44</v>
      </c>
      <c r="E18" s="209" t="s">
        <v>36</v>
      </c>
      <c r="F18" s="210" t="s">
        <v>89</v>
      </c>
      <c r="G18" s="33" t="s">
        <v>75</v>
      </c>
      <c r="H18" s="217">
        <f>'прил8 (ведом 24)'!M409</f>
        <v>114625</v>
      </c>
    </row>
    <row r="19" spans="1:8" ht="18" x14ac:dyDescent="0.35">
      <c r="A19" s="329"/>
      <c r="B19" s="494" t="s">
        <v>455</v>
      </c>
      <c r="C19" s="208" t="s">
        <v>38</v>
      </c>
      <c r="D19" s="209" t="s">
        <v>44</v>
      </c>
      <c r="E19" s="209" t="s">
        <v>36</v>
      </c>
      <c r="F19" s="210" t="s">
        <v>376</v>
      </c>
      <c r="G19" s="33"/>
      <c r="H19" s="217">
        <f>H20</f>
        <v>8013.8</v>
      </c>
    </row>
    <row r="20" spans="1:8" ht="36" x14ac:dyDescent="0.35">
      <c r="A20" s="329"/>
      <c r="B20" s="494" t="s">
        <v>74</v>
      </c>
      <c r="C20" s="208" t="s">
        <v>38</v>
      </c>
      <c r="D20" s="209" t="s">
        <v>44</v>
      </c>
      <c r="E20" s="209" t="s">
        <v>36</v>
      </c>
      <c r="F20" s="210" t="s">
        <v>376</v>
      </c>
      <c r="G20" s="33" t="s">
        <v>75</v>
      </c>
      <c r="H20" s="217">
        <f>'прил8 (ведом 24)'!M411</f>
        <v>8013.8</v>
      </c>
    </row>
    <row r="21" spans="1:8" ht="36" x14ac:dyDescent="0.35">
      <c r="A21" s="329"/>
      <c r="B21" s="494" t="s">
        <v>204</v>
      </c>
      <c r="C21" s="208" t="s">
        <v>38</v>
      </c>
      <c r="D21" s="209" t="s">
        <v>44</v>
      </c>
      <c r="E21" s="209" t="s">
        <v>36</v>
      </c>
      <c r="F21" s="210" t="s">
        <v>269</v>
      </c>
      <c r="G21" s="33"/>
      <c r="H21" s="217">
        <f>H22</f>
        <v>33905.5</v>
      </c>
    </row>
    <row r="22" spans="1:8" ht="36" x14ac:dyDescent="0.35">
      <c r="A22" s="329"/>
      <c r="B22" s="494" t="s">
        <v>74</v>
      </c>
      <c r="C22" s="208" t="s">
        <v>38</v>
      </c>
      <c r="D22" s="209" t="s">
        <v>44</v>
      </c>
      <c r="E22" s="209" t="s">
        <v>36</v>
      </c>
      <c r="F22" s="210" t="s">
        <v>269</v>
      </c>
      <c r="G22" s="33" t="s">
        <v>75</v>
      </c>
      <c r="H22" s="217">
        <f>'прил8 (ведом 24)'!M413</f>
        <v>33905.5</v>
      </c>
    </row>
    <row r="23" spans="1:8" ht="36" x14ac:dyDescent="0.35">
      <c r="A23" s="329"/>
      <c r="B23" s="497" t="s">
        <v>205</v>
      </c>
      <c r="C23" s="676" t="s">
        <v>38</v>
      </c>
      <c r="D23" s="677" t="s">
        <v>44</v>
      </c>
      <c r="E23" s="677" t="s">
        <v>36</v>
      </c>
      <c r="F23" s="678" t="s">
        <v>270</v>
      </c>
      <c r="G23" s="33"/>
      <c r="H23" s="217">
        <f>H25+H24</f>
        <v>3061.6000000000004</v>
      </c>
    </row>
    <row r="24" spans="1:8" ht="36" x14ac:dyDescent="0.35">
      <c r="A24" s="329"/>
      <c r="B24" s="495" t="s">
        <v>200</v>
      </c>
      <c r="C24" s="208" t="s">
        <v>38</v>
      </c>
      <c r="D24" s="209" t="s">
        <v>44</v>
      </c>
      <c r="E24" s="209" t="s">
        <v>36</v>
      </c>
      <c r="F24" s="210" t="s">
        <v>270</v>
      </c>
      <c r="G24" s="33" t="s">
        <v>201</v>
      </c>
      <c r="H24" s="217">
        <f>'прил8 (ведом 24)'!M352</f>
        <v>2145.9</v>
      </c>
    </row>
    <row r="25" spans="1:8" ht="50.25" customHeight="1" x14ac:dyDescent="0.35">
      <c r="A25" s="329"/>
      <c r="B25" s="494" t="s">
        <v>74</v>
      </c>
      <c r="C25" s="208" t="s">
        <v>38</v>
      </c>
      <c r="D25" s="209" t="s">
        <v>44</v>
      </c>
      <c r="E25" s="209" t="s">
        <v>36</v>
      </c>
      <c r="F25" s="210" t="s">
        <v>270</v>
      </c>
      <c r="G25" s="33" t="s">
        <v>75</v>
      </c>
      <c r="H25" s="211">
        <f>'прил8 (ведом 24)'!M415</f>
        <v>915.7</v>
      </c>
    </row>
    <row r="26" spans="1:8" ht="120" customHeight="1" x14ac:dyDescent="0.35">
      <c r="A26" s="329"/>
      <c r="B26" s="493" t="s">
        <v>279</v>
      </c>
      <c r="C26" s="208" t="s">
        <v>38</v>
      </c>
      <c r="D26" s="209" t="s">
        <v>44</v>
      </c>
      <c r="E26" s="209" t="s">
        <v>36</v>
      </c>
      <c r="F26" s="210" t="s">
        <v>280</v>
      </c>
      <c r="G26" s="33"/>
      <c r="H26" s="217">
        <f>SUM(H27:H28)</f>
        <v>8438.2000000000007</v>
      </c>
    </row>
    <row r="27" spans="1:8" ht="36" x14ac:dyDescent="0.35">
      <c r="A27" s="329"/>
      <c r="B27" s="493" t="s">
        <v>53</v>
      </c>
      <c r="C27" s="208" t="s">
        <v>38</v>
      </c>
      <c r="D27" s="209" t="s">
        <v>44</v>
      </c>
      <c r="E27" s="209" t="s">
        <v>36</v>
      </c>
      <c r="F27" s="210" t="s">
        <v>280</v>
      </c>
      <c r="G27" s="33" t="s">
        <v>54</v>
      </c>
      <c r="H27" s="217">
        <f>'прил8 (ведом 24)'!M542</f>
        <v>124.7</v>
      </c>
    </row>
    <row r="28" spans="1:8" ht="18" x14ac:dyDescent="0.35">
      <c r="A28" s="329"/>
      <c r="B28" s="496" t="s">
        <v>118</v>
      </c>
      <c r="C28" s="208" t="s">
        <v>38</v>
      </c>
      <c r="D28" s="209" t="s">
        <v>44</v>
      </c>
      <c r="E28" s="209" t="s">
        <v>36</v>
      </c>
      <c r="F28" s="210" t="s">
        <v>280</v>
      </c>
      <c r="G28" s="33" t="s">
        <v>119</v>
      </c>
      <c r="H28" s="217">
        <f>'прил8 (ведом 24)'!M543</f>
        <v>8313.5</v>
      </c>
    </row>
    <row r="29" spans="1:8" ht="162" x14ac:dyDescent="0.35">
      <c r="A29" s="329"/>
      <c r="B29" s="493" t="s">
        <v>264</v>
      </c>
      <c r="C29" s="208" t="s">
        <v>38</v>
      </c>
      <c r="D29" s="209" t="s">
        <v>44</v>
      </c>
      <c r="E29" s="209" t="s">
        <v>36</v>
      </c>
      <c r="F29" s="210" t="s">
        <v>265</v>
      </c>
      <c r="G29" s="33"/>
      <c r="H29" s="217">
        <f>H30</f>
        <v>630.6</v>
      </c>
    </row>
    <row r="30" spans="1:8" ht="36" x14ac:dyDescent="0.35">
      <c r="A30" s="329"/>
      <c r="B30" s="493" t="s">
        <v>74</v>
      </c>
      <c r="C30" s="208" t="s">
        <v>38</v>
      </c>
      <c r="D30" s="209" t="s">
        <v>44</v>
      </c>
      <c r="E30" s="209" t="s">
        <v>36</v>
      </c>
      <c r="F30" s="210" t="s">
        <v>265</v>
      </c>
      <c r="G30" s="33" t="s">
        <v>75</v>
      </c>
      <c r="H30" s="217">
        <f>'прил8 (ведом 24)'!M417</f>
        <v>630.6</v>
      </c>
    </row>
    <row r="31" spans="1:8" ht="90" x14ac:dyDescent="0.35">
      <c r="A31" s="329"/>
      <c r="B31" s="493" t="s">
        <v>341</v>
      </c>
      <c r="C31" s="208" t="s">
        <v>38</v>
      </c>
      <c r="D31" s="209" t="s">
        <v>44</v>
      </c>
      <c r="E31" s="209" t="s">
        <v>36</v>
      </c>
      <c r="F31" s="210" t="s">
        <v>266</v>
      </c>
      <c r="G31" s="33"/>
      <c r="H31" s="217">
        <f>H32</f>
        <v>275400.2</v>
      </c>
    </row>
    <row r="32" spans="1:8" ht="36" x14ac:dyDescent="0.35">
      <c r="A32" s="329"/>
      <c r="B32" s="496" t="s">
        <v>74</v>
      </c>
      <c r="C32" s="208" t="s">
        <v>38</v>
      </c>
      <c r="D32" s="209" t="s">
        <v>44</v>
      </c>
      <c r="E32" s="209" t="s">
        <v>36</v>
      </c>
      <c r="F32" s="210" t="s">
        <v>266</v>
      </c>
      <c r="G32" s="33" t="s">
        <v>75</v>
      </c>
      <c r="H32" s="217">
        <f>'прил8 (ведом 24)'!M419</f>
        <v>275400.2</v>
      </c>
    </row>
    <row r="33" spans="1:8" ht="126" x14ac:dyDescent="0.35">
      <c r="A33" s="329"/>
      <c r="B33" s="495" t="s">
        <v>691</v>
      </c>
      <c r="C33" s="208" t="s">
        <v>38</v>
      </c>
      <c r="D33" s="209" t="s">
        <v>44</v>
      </c>
      <c r="E33" s="209" t="s">
        <v>36</v>
      </c>
      <c r="F33" s="210" t="s">
        <v>476</v>
      </c>
      <c r="G33" s="33"/>
      <c r="H33" s="217">
        <f>H34</f>
        <v>27437.53</v>
      </c>
    </row>
    <row r="34" spans="1:8" ht="36" x14ac:dyDescent="0.35">
      <c r="A34" s="329"/>
      <c r="B34" s="495" t="s">
        <v>200</v>
      </c>
      <c r="C34" s="208" t="s">
        <v>38</v>
      </c>
      <c r="D34" s="209" t="s">
        <v>44</v>
      </c>
      <c r="E34" s="209" t="s">
        <v>36</v>
      </c>
      <c r="F34" s="210" t="s">
        <v>476</v>
      </c>
      <c r="G34" s="33" t="s">
        <v>201</v>
      </c>
      <c r="H34" s="217">
        <f>'прил8 (ведом 24)'!M354</f>
        <v>27437.53</v>
      </c>
    </row>
    <row r="35" spans="1:8" ht="18" x14ac:dyDescent="0.35">
      <c r="A35" s="329"/>
      <c r="B35" s="493" t="s">
        <v>268</v>
      </c>
      <c r="C35" s="208" t="s">
        <v>38</v>
      </c>
      <c r="D35" s="209" t="s">
        <v>44</v>
      </c>
      <c r="E35" s="209" t="s">
        <v>38</v>
      </c>
      <c r="F35" s="210" t="s">
        <v>43</v>
      </c>
      <c r="G35" s="33"/>
      <c r="H35" s="217">
        <f>H44+H47+H53+H57+H61+H36+H41+H68+H71+H51+H78+H76+H74+H66+H64</f>
        <v>855401.89343000005</v>
      </c>
    </row>
    <row r="36" spans="1:8" ht="36" x14ac:dyDescent="0.35">
      <c r="A36" s="329"/>
      <c r="B36" s="493" t="s">
        <v>454</v>
      </c>
      <c r="C36" s="208" t="s">
        <v>38</v>
      </c>
      <c r="D36" s="209" t="s">
        <v>44</v>
      </c>
      <c r="E36" s="209" t="s">
        <v>38</v>
      </c>
      <c r="F36" s="210" t="s">
        <v>89</v>
      </c>
      <c r="G36" s="33"/>
      <c r="H36" s="217">
        <f>SUM(H37:H40)</f>
        <v>82733.032999999996</v>
      </c>
    </row>
    <row r="37" spans="1:8" ht="90" x14ac:dyDescent="0.35">
      <c r="A37" s="329"/>
      <c r="B37" s="494" t="s">
        <v>48</v>
      </c>
      <c r="C37" s="208" t="s">
        <v>38</v>
      </c>
      <c r="D37" s="209" t="s">
        <v>44</v>
      </c>
      <c r="E37" s="209" t="s">
        <v>38</v>
      </c>
      <c r="F37" s="210" t="s">
        <v>89</v>
      </c>
      <c r="G37" s="33" t="s">
        <v>49</v>
      </c>
      <c r="H37" s="217">
        <f>'прил8 (ведом 24)'!M430</f>
        <v>451</v>
      </c>
    </row>
    <row r="38" spans="1:8" ht="36" x14ac:dyDescent="0.35">
      <c r="A38" s="329"/>
      <c r="B38" s="494" t="s">
        <v>53</v>
      </c>
      <c r="C38" s="208" t="s">
        <v>38</v>
      </c>
      <c r="D38" s="209" t="s">
        <v>44</v>
      </c>
      <c r="E38" s="209" t="s">
        <v>38</v>
      </c>
      <c r="F38" s="210" t="s">
        <v>89</v>
      </c>
      <c r="G38" s="33" t="s">
        <v>54</v>
      </c>
      <c r="H38" s="217">
        <f>'прил8 (ведом 24)'!M431</f>
        <v>7964.7329999999993</v>
      </c>
    </row>
    <row r="39" spans="1:8" ht="36" x14ac:dyDescent="0.35">
      <c r="A39" s="329"/>
      <c r="B39" s="493" t="s">
        <v>74</v>
      </c>
      <c r="C39" s="208" t="s">
        <v>38</v>
      </c>
      <c r="D39" s="209" t="s">
        <v>44</v>
      </c>
      <c r="E39" s="209" t="s">
        <v>38</v>
      </c>
      <c r="F39" s="210" t="s">
        <v>89</v>
      </c>
      <c r="G39" s="33" t="s">
        <v>75</v>
      </c>
      <c r="H39" s="217">
        <f>'прил8 (ведом 24)'!M432</f>
        <v>73937.399999999994</v>
      </c>
    </row>
    <row r="40" spans="1:8" ht="18" x14ac:dyDescent="0.35">
      <c r="A40" s="329"/>
      <c r="B40" s="493" t="s">
        <v>55</v>
      </c>
      <c r="C40" s="208" t="s">
        <v>38</v>
      </c>
      <c r="D40" s="209" t="s">
        <v>44</v>
      </c>
      <c r="E40" s="209" t="s">
        <v>38</v>
      </c>
      <c r="F40" s="210" t="s">
        <v>89</v>
      </c>
      <c r="G40" s="33" t="s">
        <v>56</v>
      </c>
      <c r="H40" s="217">
        <f>'прил8 (ведом 24)'!M433</f>
        <v>379.90000000000003</v>
      </c>
    </row>
    <row r="41" spans="1:8" ht="18" x14ac:dyDescent="0.35">
      <c r="A41" s="329"/>
      <c r="B41" s="494" t="s">
        <v>455</v>
      </c>
      <c r="C41" s="208" t="s">
        <v>38</v>
      </c>
      <c r="D41" s="209" t="s">
        <v>44</v>
      </c>
      <c r="E41" s="209" t="s">
        <v>38</v>
      </c>
      <c r="F41" s="210" t="s">
        <v>376</v>
      </c>
      <c r="G41" s="33"/>
      <c r="H41" s="217">
        <f>SUM(H42:H43)</f>
        <v>9008.2204299999994</v>
      </c>
    </row>
    <row r="42" spans="1:8" ht="36" x14ac:dyDescent="0.35">
      <c r="A42" s="329"/>
      <c r="B42" s="494" t="s">
        <v>53</v>
      </c>
      <c r="C42" s="676" t="s">
        <v>38</v>
      </c>
      <c r="D42" s="677" t="s">
        <v>44</v>
      </c>
      <c r="E42" s="677" t="s">
        <v>38</v>
      </c>
      <c r="F42" s="678" t="s">
        <v>376</v>
      </c>
      <c r="G42" s="15" t="s">
        <v>54</v>
      </c>
      <c r="H42" s="217">
        <f>'прил8 (ведом 24)'!M435</f>
        <v>5.9204299999999996</v>
      </c>
    </row>
    <row r="43" spans="1:8" ht="36" x14ac:dyDescent="0.35">
      <c r="A43" s="329"/>
      <c r="B43" s="493" t="s">
        <v>74</v>
      </c>
      <c r="C43" s="208" t="s">
        <v>38</v>
      </c>
      <c r="D43" s="209" t="s">
        <v>44</v>
      </c>
      <c r="E43" s="209" t="s">
        <v>38</v>
      </c>
      <c r="F43" s="210" t="s">
        <v>376</v>
      </c>
      <c r="G43" s="33" t="s">
        <v>75</v>
      </c>
      <c r="H43" s="217">
        <f>'прил8 (ведом 24)'!M436</f>
        <v>9002.2999999999993</v>
      </c>
    </row>
    <row r="44" spans="1:8" ht="36" x14ac:dyDescent="0.35">
      <c r="A44" s="329"/>
      <c r="B44" s="493" t="s">
        <v>204</v>
      </c>
      <c r="C44" s="208" t="s">
        <v>38</v>
      </c>
      <c r="D44" s="209" t="s">
        <v>44</v>
      </c>
      <c r="E44" s="209" t="s">
        <v>38</v>
      </c>
      <c r="F44" s="210" t="s">
        <v>269</v>
      </c>
      <c r="G44" s="33"/>
      <c r="H44" s="217">
        <f>SUM(H45:H46)</f>
        <v>31608.699999999997</v>
      </c>
    </row>
    <row r="45" spans="1:8" ht="36" x14ac:dyDescent="0.35">
      <c r="A45" s="329"/>
      <c r="B45" s="494" t="s">
        <v>53</v>
      </c>
      <c r="C45" s="208" t="s">
        <v>38</v>
      </c>
      <c r="D45" s="209" t="s">
        <v>44</v>
      </c>
      <c r="E45" s="209" t="s">
        <v>38</v>
      </c>
      <c r="F45" s="210" t="s">
        <v>269</v>
      </c>
      <c r="G45" s="33" t="s">
        <v>54</v>
      </c>
      <c r="H45" s="217">
        <f>'прил8 (ведом 24)'!M438</f>
        <v>4836.3999999999996</v>
      </c>
    </row>
    <row r="46" spans="1:8" ht="36" x14ac:dyDescent="0.35">
      <c r="A46" s="329"/>
      <c r="B46" s="493" t="s">
        <v>74</v>
      </c>
      <c r="C46" s="208" t="s">
        <v>38</v>
      </c>
      <c r="D46" s="209" t="s">
        <v>44</v>
      </c>
      <c r="E46" s="209" t="s">
        <v>38</v>
      </c>
      <c r="F46" s="210" t="s">
        <v>269</v>
      </c>
      <c r="G46" s="33" t="s">
        <v>75</v>
      </c>
      <c r="H46" s="217">
        <f>'прил8 (ведом 24)'!M439</f>
        <v>26772.3</v>
      </c>
    </row>
    <row r="47" spans="1:8" ht="36" x14ac:dyDescent="0.35">
      <c r="A47" s="329"/>
      <c r="B47" s="493" t="s">
        <v>205</v>
      </c>
      <c r="C47" s="208" t="s">
        <v>38</v>
      </c>
      <c r="D47" s="209" t="s">
        <v>44</v>
      </c>
      <c r="E47" s="209" t="s">
        <v>38</v>
      </c>
      <c r="F47" s="210" t="s">
        <v>270</v>
      </c>
      <c r="G47" s="33"/>
      <c r="H47" s="217">
        <f>SUM(H48:H50)</f>
        <v>53449.64</v>
      </c>
    </row>
    <row r="48" spans="1:8" ht="36" x14ac:dyDescent="0.35">
      <c r="A48" s="329"/>
      <c r="B48" s="494" t="s">
        <v>53</v>
      </c>
      <c r="C48" s="208" t="s">
        <v>38</v>
      </c>
      <c r="D48" s="209" t="s">
        <v>44</v>
      </c>
      <c r="E48" s="209" t="s">
        <v>38</v>
      </c>
      <c r="F48" s="210" t="s">
        <v>270</v>
      </c>
      <c r="G48" s="33" t="s">
        <v>54</v>
      </c>
      <c r="H48" s="217">
        <f>'прил8 (ведом 24)'!M441</f>
        <v>29639.1</v>
      </c>
    </row>
    <row r="49" spans="1:8" ht="36" x14ac:dyDescent="0.35">
      <c r="A49" s="329"/>
      <c r="B49" s="651" t="s">
        <v>200</v>
      </c>
      <c r="C49" s="137" t="s">
        <v>38</v>
      </c>
      <c r="D49" s="138" t="s">
        <v>44</v>
      </c>
      <c r="E49" s="138" t="s">
        <v>38</v>
      </c>
      <c r="F49" s="473" t="s">
        <v>270</v>
      </c>
      <c r="G49" s="474" t="s">
        <v>201</v>
      </c>
      <c r="H49" s="217">
        <f>'прил8 (ведом 24)'!M360</f>
        <v>5.04</v>
      </c>
    </row>
    <row r="50" spans="1:8" ht="36" x14ac:dyDescent="0.35">
      <c r="A50" s="329"/>
      <c r="B50" s="493" t="s">
        <v>74</v>
      </c>
      <c r="C50" s="208" t="s">
        <v>38</v>
      </c>
      <c r="D50" s="209" t="s">
        <v>44</v>
      </c>
      <c r="E50" s="209" t="s">
        <v>38</v>
      </c>
      <c r="F50" s="210" t="s">
        <v>270</v>
      </c>
      <c r="G50" s="33" t="s">
        <v>75</v>
      </c>
      <c r="H50" s="217">
        <f>'прил8 (ведом 24)'!M442</f>
        <v>23805.5</v>
      </c>
    </row>
    <row r="51" spans="1:8" ht="54" x14ac:dyDescent="0.35">
      <c r="A51" s="329"/>
      <c r="B51" s="494" t="s">
        <v>489</v>
      </c>
      <c r="C51" s="208" t="s">
        <v>38</v>
      </c>
      <c r="D51" s="209" t="s">
        <v>44</v>
      </c>
      <c r="E51" s="209" t="s">
        <v>38</v>
      </c>
      <c r="F51" s="210" t="s">
        <v>490</v>
      </c>
      <c r="G51" s="33"/>
      <c r="H51" s="211">
        <f>H52</f>
        <v>30</v>
      </c>
    </row>
    <row r="52" spans="1:8" ht="36" x14ac:dyDescent="0.35">
      <c r="A52" s="329"/>
      <c r="B52" s="494" t="s">
        <v>74</v>
      </c>
      <c r="C52" s="208" t="s">
        <v>38</v>
      </c>
      <c r="D52" s="209" t="s">
        <v>44</v>
      </c>
      <c r="E52" s="209" t="s">
        <v>38</v>
      </c>
      <c r="F52" s="210" t="s">
        <v>490</v>
      </c>
      <c r="G52" s="33" t="s">
        <v>75</v>
      </c>
      <c r="H52" s="211">
        <f>'прил8 (ведом 24)'!M444</f>
        <v>30</v>
      </c>
    </row>
    <row r="53" spans="1:8" ht="162" x14ac:dyDescent="0.35">
      <c r="A53" s="329"/>
      <c r="B53" s="493" t="s">
        <v>264</v>
      </c>
      <c r="C53" s="208" t="s">
        <v>38</v>
      </c>
      <c r="D53" s="209" t="s">
        <v>44</v>
      </c>
      <c r="E53" s="209" t="s">
        <v>38</v>
      </c>
      <c r="F53" s="210" t="s">
        <v>265</v>
      </c>
      <c r="G53" s="33"/>
      <c r="H53" s="217">
        <f>SUM(H54:H56)</f>
        <v>1468.6</v>
      </c>
    </row>
    <row r="54" spans="1:8" ht="90" x14ac:dyDescent="0.35">
      <c r="A54" s="329"/>
      <c r="B54" s="494" t="s">
        <v>48</v>
      </c>
      <c r="C54" s="208" t="s">
        <v>38</v>
      </c>
      <c r="D54" s="209" t="s">
        <v>44</v>
      </c>
      <c r="E54" s="209" t="s">
        <v>38</v>
      </c>
      <c r="F54" s="210" t="s">
        <v>265</v>
      </c>
      <c r="G54" s="33" t="s">
        <v>49</v>
      </c>
      <c r="H54" s="217">
        <f>'прил8 (ведом 24)'!M446</f>
        <v>77.599999999999994</v>
      </c>
    </row>
    <row r="55" spans="1:8" ht="18" x14ac:dyDescent="0.35">
      <c r="A55" s="329"/>
      <c r="B55" s="494" t="s">
        <v>118</v>
      </c>
      <c r="C55" s="208" t="s">
        <v>38</v>
      </c>
      <c r="D55" s="209" t="s">
        <v>44</v>
      </c>
      <c r="E55" s="209" t="s">
        <v>38</v>
      </c>
      <c r="F55" s="210" t="s">
        <v>265</v>
      </c>
      <c r="G55" s="33" t="s">
        <v>119</v>
      </c>
      <c r="H55" s="217">
        <f>'прил8 (ведом 24)'!M447</f>
        <v>5.5</v>
      </c>
    </row>
    <row r="56" spans="1:8" ht="36" x14ac:dyDescent="0.35">
      <c r="A56" s="329"/>
      <c r="B56" s="493" t="s">
        <v>74</v>
      </c>
      <c r="C56" s="208" t="s">
        <v>38</v>
      </c>
      <c r="D56" s="209" t="s">
        <v>44</v>
      </c>
      <c r="E56" s="209" t="s">
        <v>38</v>
      </c>
      <c r="F56" s="210" t="s">
        <v>265</v>
      </c>
      <c r="G56" s="33" t="s">
        <v>75</v>
      </c>
      <c r="H56" s="217">
        <f>'прил8 (ведом 24)'!M448</f>
        <v>1385.5</v>
      </c>
    </row>
    <row r="57" spans="1:8" ht="90" x14ac:dyDescent="0.35">
      <c r="A57" s="329"/>
      <c r="B57" s="493" t="s">
        <v>341</v>
      </c>
      <c r="C57" s="208" t="s">
        <v>38</v>
      </c>
      <c r="D57" s="209" t="s">
        <v>44</v>
      </c>
      <c r="E57" s="209" t="s">
        <v>38</v>
      </c>
      <c r="F57" s="210" t="s">
        <v>266</v>
      </c>
      <c r="G57" s="33"/>
      <c r="H57" s="217">
        <f>SUM(H58:H60)</f>
        <v>517624.4</v>
      </c>
    </row>
    <row r="58" spans="1:8" ht="90" x14ac:dyDescent="0.35">
      <c r="A58" s="329"/>
      <c r="B58" s="493" t="s">
        <v>48</v>
      </c>
      <c r="C58" s="208" t="s">
        <v>38</v>
      </c>
      <c r="D58" s="209" t="s">
        <v>44</v>
      </c>
      <c r="E58" s="209" t="s">
        <v>38</v>
      </c>
      <c r="F58" s="210" t="s">
        <v>266</v>
      </c>
      <c r="G58" s="33" t="s">
        <v>49</v>
      </c>
      <c r="H58" s="217">
        <f>'прил8 (ведом 24)'!M450</f>
        <v>30000</v>
      </c>
    </row>
    <row r="59" spans="1:8" ht="36" x14ac:dyDescent="0.35">
      <c r="A59" s="329"/>
      <c r="B59" s="493" t="s">
        <v>53</v>
      </c>
      <c r="C59" s="208" t="s">
        <v>38</v>
      </c>
      <c r="D59" s="209" t="s">
        <v>44</v>
      </c>
      <c r="E59" s="209" t="s">
        <v>38</v>
      </c>
      <c r="F59" s="210" t="s">
        <v>266</v>
      </c>
      <c r="G59" s="33" t="s">
        <v>54</v>
      </c>
      <c r="H59" s="217">
        <f>'прил8 (ведом 24)'!M451</f>
        <v>2062</v>
      </c>
    </row>
    <row r="60" spans="1:8" ht="36" x14ac:dyDescent="0.35">
      <c r="A60" s="329"/>
      <c r="B60" s="493" t="s">
        <v>74</v>
      </c>
      <c r="C60" s="208" t="s">
        <v>38</v>
      </c>
      <c r="D60" s="209" t="s">
        <v>44</v>
      </c>
      <c r="E60" s="209" t="s">
        <v>38</v>
      </c>
      <c r="F60" s="210" t="s">
        <v>266</v>
      </c>
      <c r="G60" s="33" t="s">
        <v>75</v>
      </c>
      <c r="H60" s="217">
        <f>'прил8 (ведом 24)'!M452</f>
        <v>485562.4</v>
      </c>
    </row>
    <row r="61" spans="1:8" ht="72" x14ac:dyDescent="0.35">
      <c r="A61" s="329"/>
      <c r="B61" s="493" t="s">
        <v>206</v>
      </c>
      <c r="C61" s="670" t="s">
        <v>38</v>
      </c>
      <c r="D61" s="670" t="s">
        <v>44</v>
      </c>
      <c r="E61" s="670" t="s">
        <v>38</v>
      </c>
      <c r="F61" s="671" t="s">
        <v>271</v>
      </c>
      <c r="G61" s="238"/>
      <c r="H61" s="217">
        <f>SUM(H62:H63)</f>
        <v>2391.3000000000002</v>
      </c>
    </row>
    <row r="62" spans="1:8" ht="36" x14ac:dyDescent="0.35">
      <c r="A62" s="329"/>
      <c r="B62" s="494" t="s">
        <v>53</v>
      </c>
      <c r="C62" s="208" t="s">
        <v>38</v>
      </c>
      <c r="D62" s="209" t="s">
        <v>44</v>
      </c>
      <c r="E62" s="209" t="s">
        <v>38</v>
      </c>
      <c r="F62" s="210" t="s">
        <v>271</v>
      </c>
      <c r="G62" s="33" t="s">
        <v>54</v>
      </c>
      <c r="H62" s="217">
        <f>'прил8 (ведом 24)'!M454</f>
        <v>102.4</v>
      </c>
    </row>
    <row r="63" spans="1:8" ht="36" x14ac:dyDescent="0.35">
      <c r="A63" s="329"/>
      <c r="B63" s="493" t="s">
        <v>74</v>
      </c>
      <c r="C63" s="670" t="s">
        <v>38</v>
      </c>
      <c r="D63" s="670" t="s">
        <v>44</v>
      </c>
      <c r="E63" s="670" t="s">
        <v>38</v>
      </c>
      <c r="F63" s="671" t="s">
        <v>271</v>
      </c>
      <c r="G63" s="238" t="s">
        <v>75</v>
      </c>
      <c r="H63" s="217">
        <f>'прил8 (ведом 24)'!M455</f>
        <v>2288.9</v>
      </c>
    </row>
    <row r="64" spans="1:8" ht="54" x14ac:dyDescent="0.35">
      <c r="A64" s="329"/>
      <c r="B64" s="497" t="s">
        <v>673</v>
      </c>
      <c r="C64" s="676" t="s">
        <v>38</v>
      </c>
      <c r="D64" s="677" t="s">
        <v>44</v>
      </c>
      <c r="E64" s="677" t="s">
        <v>38</v>
      </c>
      <c r="F64" s="678" t="s">
        <v>672</v>
      </c>
      <c r="G64" s="15"/>
      <c r="H64" s="217">
        <f>H65</f>
        <v>950</v>
      </c>
    </row>
    <row r="65" spans="1:8" ht="36" x14ac:dyDescent="0.35">
      <c r="A65" s="329"/>
      <c r="B65" s="497" t="s">
        <v>74</v>
      </c>
      <c r="C65" s="676" t="s">
        <v>38</v>
      </c>
      <c r="D65" s="677" t="s">
        <v>44</v>
      </c>
      <c r="E65" s="677" t="s">
        <v>38</v>
      </c>
      <c r="F65" s="678" t="s">
        <v>672</v>
      </c>
      <c r="G65" s="15" t="s">
        <v>75</v>
      </c>
      <c r="H65" s="217">
        <f>'прил8 (ведом 24)'!M457</f>
        <v>950</v>
      </c>
    </row>
    <row r="66" spans="1:8" ht="126" x14ac:dyDescent="0.35">
      <c r="A66" s="329"/>
      <c r="B66" s="497" t="s">
        <v>508</v>
      </c>
      <c r="C66" s="208" t="s">
        <v>38</v>
      </c>
      <c r="D66" s="209" t="s">
        <v>44</v>
      </c>
      <c r="E66" s="209" t="s">
        <v>38</v>
      </c>
      <c r="F66" s="210" t="s">
        <v>507</v>
      </c>
      <c r="G66" s="238"/>
      <c r="H66" s="217">
        <f>H67</f>
        <v>1845.6</v>
      </c>
    </row>
    <row r="67" spans="1:8" ht="36" x14ac:dyDescent="0.35">
      <c r="A67" s="329"/>
      <c r="B67" s="494" t="s">
        <v>74</v>
      </c>
      <c r="C67" s="208" t="s">
        <v>38</v>
      </c>
      <c r="D67" s="209" t="s">
        <v>44</v>
      </c>
      <c r="E67" s="209" t="s">
        <v>38</v>
      </c>
      <c r="F67" s="210" t="s">
        <v>507</v>
      </c>
      <c r="G67" s="33" t="s">
        <v>75</v>
      </c>
      <c r="H67" s="217">
        <f>'прил8 (ведом 24)'!M459</f>
        <v>1845.6</v>
      </c>
    </row>
    <row r="68" spans="1:8" ht="72" x14ac:dyDescent="0.35">
      <c r="A68" s="329"/>
      <c r="B68" s="494" t="s">
        <v>446</v>
      </c>
      <c r="C68" s="208" t="s">
        <v>38</v>
      </c>
      <c r="D68" s="209" t="s">
        <v>44</v>
      </c>
      <c r="E68" s="209" t="s">
        <v>38</v>
      </c>
      <c r="F68" s="210" t="s">
        <v>445</v>
      </c>
      <c r="G68" s="33"/>
      <c r="H68" s="217">
        <f>H69+H70</f>
        <v>65994.399999999994</v>
      </c>
    </row>
    <row r="69" spans="1:8" ht="36" x14ac:dyDescent="0.35">
      <c r="A69" s="329"/>
      <c r="B69" s="494" t="s">
        <v>53</v>
      </c>
      <c r="C69" s="208" t="s">
        <v>38</v>
      </c>
      <c r="D69" s="209" t="s">
        <v>44</v>
      </c>
      <c r="E69" s="209" t="s">
        <v>38</v>
      </c>
      <c r="F69" s="210" t="s">
        <v>445</v>
      </c>
      <c r="G69" s="33" t="s">
        <v>54</v>
      </c>
      <c r="H69" s="217">
        <f>'прил8 (ведом 24)'!M461</f>
        <v>1560.9</v>
      </c>
    </row>
    <row r="70" spans="1:8" ht="36" x14ac:dyDescent="0.35">
      <c r="A70" s="329"/>
      <c r="B70" s="494" t="s">
        <v>74</v>
      </c>
      <c r="C70" s="208" t="s">
        <v>38</v>
      </c>
      <c r="D70" s="209" t="s">
        <v>44</v>
      </c>
      <c r="E70" s="209" t="s">
        <v>38</v>
      </c>
      <c r="F70" s="210" t="s">
        <v>445</v>
      </c>
      <c r="G70" s="33" t="s">
        <v>75</v>
      </c>
      <c r="H70" s="217">
        <f>'прил8 (ведом 24)'!M462</f>
        <v>64433.5</v>
      </c>
    </row>
    <row r="71" spans="1:8" ht="234" x14ac:dyDescent="0.35">
      <c r="A71" s="329"/>
      <c r="B71" s="494" t="s">
        <v>693</v>
      </c>
      <c r="C71" s="208" t="s">
        <v>38</v>
      </c>
      <c r="D71" s="209" t="s">
        <v>44</v>
      </c>
      <c r="E71" s="209" t="s">
        <v>38</v>
      </c>
      <c r="F71" s="210" t="s">
        <v>631</v>
      </c>
      <c r="G71" s="33"/>
      <c r="H71" s="217">
        <f>H72+H73</f>
        <v>35544.6</v>
      </c>
    </row>
    <row r="72" spans="1:8" ht="90" x14ac:dyDescent="0.35">
      <c r="A72" s="329"/>
      <c r="B72" s="494" t="s">
        <v>48</v>
      </c>
      <c r="C72" s="208" t="s">
        <v>38</v>
      </c>
      <c r="D72" s="209" t="s">
        <v>44</v>
      </c>
      <c r="E72" s="209" t="s">
        <v>38</v>
      </c>
      <c r="F72" s="210" t="s">
        <v>631</v>
      </c>
      <c r="G72" s="33" t="s">
        <v>49</v>
      </c>
      <c r="H72" s="217">
        <f>'прил8 (ведом 24)'!M464</f>
        <v>2968.6</v>
      </c>
    </row>
    <row r="73" spans="1:8" ht="36" x14ac:dyDescent="0.35">
      <c r="A73" s="329"/>
      <c r="B73" s="494" t="s">
        <v>74</v>
      </c>
      <c r="C73" s="208" t="s">
        <v>38</v>
      </c>
      <c r="D73" s="209" t="s">
        <v>44</v>
      </c>
      <c r="E73" s="209" t="s">
        <v>38</v>
      </c>
      <c r="F73" s="210" t="s">
        <v>631</v>
      </c>
      <c r="G73" s="33" t="s">
        <v>75</v>
      </c>
      <c r="H73" s="217">
        <f>'прил8 (ведом 24)'!M465</f>
        <v>32576</v>
      </c>
    </row>
    <row r="74" spans="1:8" ht="162" x14ac:dyDescent="0.35">
      <c r="A74" s="329"/>
      <c r="B74" s="564" t="s">
        <v>627</v>
      </c>
      <c r="C74" s="676" t="s">
        <v>38</v>
      </c>
      <c r="D74" s="677" t="s">
        <v>44</v>
      </c>
      <c r="E74" s="677" t="s">
        <v>38</v>
      </c>
      <c r="F74" s="678" t="s">
        <v>589</v>
      </c>
      <c r="G74" s="15"/>
      <c r="H74" s="217">
        <f>H75</f>
        <v>3900.6</v>
      </c>
    </row>
    <row r="75" spans="1:8" ht="36" x14ac:dyDescent="0.35">
      <c r="A75" s="329"/>
      <c r="B75" s="497" t="s">
        <v>74</v>
      </c>
      <c r="C75" s="676" t="s">
        <v>38</v>
      </c>
      <c r="D75" s="677" t="s">
        <v>44</v>
      </c>
      <c r="E75" s="677" t="s">
        <v>38</v>
      </c>
      <c r="F75" s="678" t="s">
        <v>589</v>
      </c>
      <c r="G75" s="15" t="s">
        <v>75</v>
      </c>
      <c r="H75" s="217">
        <f>'прил8 (ведом 24)'!M467</f>
        <v>3900.6</v>
      </c>
    </row>
    <row r="76" spans="1:8" ht="126" x14ac:dyDescent="0.35">
      <c r="A76" s="329"/>
      <c r="B76" s="580" t="s">
        <v>691</v>
      </c>
      <c r="C76" s="361" t="s">
        <v>38</v>
      </c>
      <c r="D76" s="362" t="s">
        <v>44</v>
      </c>
      <c r="E76" s="362" t="s">
        <v>38</v>
      </c>
      <c r="F76" s="363" t="s">
        <v>476</v>
      </c>
      <c r="G76" s="420"/>
      <c r="H76" s="217">
        <f>H77</f>
        <v>34464.199999999997</v>
      </c>
    </row>
    <row r="77" spans="1:8" ht="36" x14ac:dyDescent="0.35">
      <c r="A77" s="329"/>
      <c r="B77" s="580" t="s">
        <v>200</v>
      </c>
      <c r="C77" s="588" t="s">
        <v>38</v>
      </c>
      <c r="D77" s="589" t="s">
        <v>44</v>
      </c>
      <c r="E77" s="589" t="s">
        <v>38</v>
      </c>
      <c r="F77" s="590" t="s">
        <v>476</v>
      </c>
      <c r="G77" s="420" t="s">
        <v>201</v>
      </c>
      <c r="H77" s="217">
        <f>'прил8 (ведом 24)'!M362</f>
        <v>34464.199999999997</v>
      </c>
    </row>
    <row r="78" spans="1:8" ht="72" x14ac:dyDescent="0.35">
      <c r="A78" s="329"/>
      <c r="B78" s="494" t="s">
        <v>694</v>
      </c>
      <c r="C78" s="208" t="s">
        <v>38</v>
      </c>
      <c r="D78" s="209" t="s">
        <v>44</v>
      </c>
      <c r="E78" s="209" t="s">
        <v>38</v>
      </c>
      <c r="F78" s="210" t="s">
        <v>505</v>
      </c>
      <c r="G78" s="33"/>
      <c r="H78" s="217">
        <f>H79+H80+H81</f>
        <v>14388.6</v>
      </c>
    </row>
    <row r="79" spans="1:8" ht="36" x14ac:dyDescent="0.35">
      <c r="A79" s="329"/>
      <c r="B79" s="494" t="s">
        <v>53</v>
      </c>
      <c r="C79" s="208" t="s">
        <v>38</v>
      </c>
      <c r="D79" s="209" t="s">
        <v>44</v>
      </c>
      <c r="E79" s="209" t="s">
        <v>38</v>
      </c>
      <c r="F79" s="210" t="s">
        <v>505</v>
      </c>
      <c r="G79" s="33" t="s">
        <v>54</v>
      </c>
      <c r="H79" s="217">
        <f>'прил8 (ведом 24)'!M469</f>
        <v>149.9</v>
      </c>
    </row>
    <row r="80" spans="1:8" ht="18" x14ac:dyDescent="0.35">
      <c r="A80" s="329"/>
      <c r="B80" s="494" t="s">
        <v>118</v>
      </c>
      <c r="C80" s="208" t="s">
        <v>38</v>
      </c>
      <c r="D80" s="209" t="s">
        <v>44</v>
      </c>
      <c r="E80" s="209" t="s">
        <v>38</v>
      </c>
      <c r="F80" s="210" t="s">
        <v>505</v>
      </c>
      <c r="G80" s="33" t="s">
        <v>119</v>
      </c>
      <c r="H80" s="217">
        <f>'прил8 (ведом 24)'!M470</f>
        <v>97.8</v>
      </c>
    </row>
    <row r="81" spans="1:8" ht="36" x14ac:dyDescent="0.35">
      <c r="A81" s="329"/>
      <c r="B81" s="494" t="s">
        <v>74</v>
      </c>
      <c r="C81" s="208" t="s">
        <v>38</v>
      </c>
      <c r="D81" s="209" t="s">
        <v>44</v>
      </c>
      <c r="E81" s="209" t="s">
        <v>38</v>
      </c>
      <c r="F81" s="210" t="s">
        <v>505</v>
      </c>
      <c r="G81" s="33" t="s">
        <v>75</v>
      </c>
      <c r="H81" s="217">
        <f>'прил8 (ведом 24)'!M471</f>
        <v>14140.9</v>
      </c>
    </row>
    <row r="82" spans="1:8" ht="36" x14ac:dyDescent="0.35">
      <c r="A82" s="329"/>
      <c r="B82" s="497" t="s">
        <v>614</v>
      </c>
      <c r="C82" s="676" t="s">
        <v>38</v>
      </c>
      <c r="D82" s="677" t="s">
        <v>44</v>
      </c>
      <c r="E82" s="677" t="s">
        <v>615</v>
      </c>
      <c r="F82" s="678" t="s">
        <v>43</v>
      </c>
      <c r="G82" s="15"/>
      <c r="H82" s="217">
        <f>H83</f>
        <v>5745.9</v>
      </c>
    </row>
    <row r="83" spans="1:8" ht="72" x14ac:dyDescent="0.35">
      <c r="A83" s="329"/>
      <c r="B83" s="497" t="s">
        <v>616</v>
      </c>
      <c r="C83" s="676" t="s">
        <v>38</v>
      </c>
      <c r="D83" s="677" t="s">
        <v>44</v>
      </c>
      <c r="E83" s="677" t="s">
        <v>615</v>
      </c>
      <c r="F83" s="678" t="s">
        <v>617</v>
      </c>
      <c r="G83" s="15"/>
      <c r="H83" s="217">
        <f>H84+H85</f>
        <v>5745.9</v>
      </c>
    </row>
    <row r="84" spans="1:8" ht="90" x14ac:dyDescent="0.35">
      <c r="A84" s="329"/>
      <c r="B84" s="497" t="s">
        <v>48</v>
      </c>
      <c r="C84" s="676" t="s">
        <v>38</v>
      </c>
      <c r="D84" s="677" t="s">
        <v>44</v>
      </c>
      <c r="E84" s="677" t="s">
        <v>615</v>
      </c>
      <c r="F84" s="678" t="s">
        <v>617</v>
      </c>
      <c r="G84" s="15" t="s">
        <v>49</v>
      </c>
      <c r="H84" s="217">
        <f>'прил8 (ведом 24)'!M474</f>
        <v>420.4</v>
      </c>
    </row>
    <row r="85" spans="1:8" ht="36" x14ac:dyDescent="0.35">
      <c r="A85" s="329"/>
      <c r="B85" s="497" t="s">
        <v>74</v>
      </c>
      <c r="C85" s="676" t="s">
        <v>38</v>
      </c>
      <c r="D85" s="677" t="s">
        <v>44</v>
      </c>
      <c r="E85" s="677" t="s">
        <v>615</v>
      </c>
      <c r="F85" s="678" t="s">
        <v>617</v>
      </c>
      <c r="G85" s="15" t="s">
        <v>75</v>
      </c>
      <c r="H85" s="217">
        <f>'прил8 (ведом 24)'!M475</f>
        <v>5325.5</v>
      </c>
    </row>
    <row r="86" spans="1:8" ht="18" x14ac:dyDescent="0.35">
      <c r="A86" s="329"/>
      <c r="B86" s="493" t="s">
        <v>207</v>
      </c>
      <c r="C86" s="208" t="s">
        <v>38</v>
      </c>
      <c r="D86" s="209" t="s">
        <v>87</v>
      </c>
      <c r="E86" s="209" t="s">
        <v>42</v>
      </c>
      <c r="F86" s="210" t="s">
        <v>43</v>
      </c>
      <c r="G86" s="238"/>
      <c r="H86" s="217">
        <f>H87+H108</f>
        <v>91389.31</v>
      </c>
    </row>
    <row r="87" spans="1:8" ht="36" x14ac:dyDescent="0.35">
      <c r="A87" s="329"/>
      <c r="B87" s="493" t="s">
        <v>272</v>
      </c>
      <c r="C87" s="208" t="s">
        <v>38</v>
      </c>
      <c r="D87" s="209" t="s">
        <v>87</v>
      </c>
      <c r="E87" s="209" t="s">
        <v>36</v>
      </c>
      <c r="F87" s="210" t="s">
        <v>43</v>
      </c>
      <c r="G87" s="238"/>
      <c r="H87" s="217">
        <f>H88+H103+H95+H105+H98+H93+H100</f>
        <v>91335.31</v>
      </c>
    </row>
    <row r="88" spans="1:8" ht="36" x14ac:dyDescent="0.35">
      <c r="A88" s="329"/>
      <c r="B88" s="493" t="s">
        <v>454</v>
      </c>
      <c r="C88" s="208" t="s">
        <v>38</v>
      </c>
      <c r="D88" s="209" t="s">
        <v>87</v>
      </c>
      <c r="E88" s="209" t="s">
        <v>36</v>
      </c>
      <c r="F88" s="210" t="s">
        <v>89</v>
      </c>
      <c r="G88" s="33"/>
      <c r="H88" s="217">
        <f>SUM(H89:H92)</f>
        <v>64472.210000000006</v>
      </c>
    </row>
    <row r="89" spans="1:8" ht="90" x14ac:dyDescent="0.35">
      <c r="A89" s="329"/>
      <c r="B89" s="494" t="s">
        <v>48</v>
      </c>
      <c r="C89" s="208" t="s">
        <v>38</v>
      </c>
      <c r="D89" s="209" t="s">
        <v>87</v>
      </c>
      <c r="E89" s="209" t="s">
        <v>36</v>
      </c>
      <c r="F89" s="210" t="s">
        <v>89</v>
      </c>
      <c r="G89" s="33" t="s">
        <v>49</v>
      </c>
      <c r="H89" s="217">
        <f>'прил8 (ведом 24)'!M550</f>
        <v>18733.2</v>
      </c>
    </row>
    <row r="90" spans="1:8" ht="36" x14ac:dyDescent="0.35">
      <c r="A90" s="329"/>
      <c r="B90" s="494" t="s">
        <v>53</v>
      </c>
      <c r="C90" s="208" t="s">
        <v>38</v>
      </c>
      <c r="D90" s="209" t="s">
        <v>87</v>
      </c>
      <c r="E90" s="209" t="s">
        <v>36</v>
      </c>
      <c r="F90" s="210" t="s">
        <v>89</v>
      </c>
      <c r="G90" s="33" t="s">
        <v>54</v>
      </c>
      <c r="H90" s="217">
        <f>'прил8 (ведом 24)'!M551</f>
        <v>3650.3100000000004</v>
      </c>
    </row>
    <row r="91" spans="1:8" ht="36" x14ac:dyDescent="0.35">
      <c r="A91" s="329"/>
      <c r="B91" s="493" t="s">
        <v>74</v>
      </c>
      <c r="C91" s="208" t="s">
        <v>38</v>
      </c>
      <c r="D91" s="209" t="s">
        <v>87</v>
      </c>
      <c r="E91" s="209" t="s">
        <v>36</v>
      </c>
      <c r="F91" s="210" t="s">
        <v>89</v>
      </c>
      <c r="G91" s="33" t="s">
        <v>75</v>
      </c>
      <c r="H91" s="217">
        <f>'прил8 (ведом 24)'!M485</f>
        <v>41785.4</v>
      </c>
    </row>
    <row r="92" spans="1:8" ht="18" x14ac:dyDescent="0.35">
      <c r="A92" s="329"/>
      <c r="B92" s="494" t="s">
        <v>55</v>
      </c>
      <c r="C92" s="208" t="s">
        <v>38</v>
      </c>
      <c r="D92" s="209" t="s">
        <v>87</v>
      </c>
      <c r="E92" s="209" t="s">
        <v>36</v>
      </c>
      <c r="F92" s="210" t="s">
        <v>89</v>
      </c>
      <c r="G92" s="33" t="s">
        <v>56</v>
      </c>
      <c r="H92" s="217">
        <f>'прил8 (ведом 24)'!M552</f>
        <v>303.3</v>
      </c>
    </row>
    <row r="93" spans="1:8" ht="18" x14ac:dyDescent="0.35">
      <c r="A93" s="329"/>
      <c r="B93" s="497" t="s">
        <v>455</v>
      </c>
      <c r="C93" s="676" t="s">
        <v>38</v>
      </c>
      <c r="D93" s="677" t="s">
        <v>87</v>
      </c>
      <c r="E93" s="677" t="s">
        <v>36</v>
      </c>
      <c r="F93" s="678" t="s">
        <v>376</v>
      </c>
      <c r="G93" s="15"/>
      <c r="H93" s="217">
        <f>H94</f>
        <v>972.4</v>
      </c>
    </row>
    <row r="94" spans="1:8" ht="36" x14ac:dyDescent="0.35">
      <c r="A94" s="329"/>
      <c r="B94" s="497" t="s">
        <v>74</v>
      </c>
      <c r="C94" s="676" t="s">
        <v>38</v>
      </c>
      <c r="D94" s="677" t="s">
        <v>87</v>
      </c>
      <c r="E94" s="677" t="s">
        <v>36</v>
      </c>
      <c r="F94" s="678" t="s">
        <v>376</v>
      </c>
      <c r="G94" s="15" t="s">
        <v>75</v>
      </c>
      <c r="H94" s="217">
        <f>'прил8 (ведом 24)'!M487</f>
        <v>972.4</v>
      </c>
    </row>
    <row r="95" spans="1:8" ht="36" x14ac:dyDescent="0.35">
      <c r="A95" s="329"/>
      <c r="B95" s="494" t="s">
        <v>204</v>
      </c>
      <c r="C95" s="208" t="s">
        <v>38</v>
      </c>
      <c r="D95" s="209" t="s">
        <v>87</v>
      </c>
      <c r="E95" s="209" t="s">
        <v>36</v>
      </c>
      <c r="F95" s="210" t="s">
        <v>269</v>
      </c>
      <c r="G95" s="33"/>
      <c r="H95" s="217">
        <f>SUM(H96:H97)</f>
        <v>5797.5</v>
      </c>
    </row>
    <row r="96" spans="1:8" ht="36" x14ac:dyDescent="0.35">
      <c r="A96" s="329"/>
      <c r="B96" s="494" t="s">
        <v>53</v>
      </c>
      <c r="C96" s="208" t="s">
        <v>38</v>
      </c>
      <c r="D96" s="209" t="s">
        <v>87</v>
      </c>
      <c r="E96" s="209" t="s">
        <v>36</v>
      </c>
      <c r="F96" s="210" t="s">
        <v>269</v>
      </c>
      <c r="G96" s="33" t="s">
        <v>54</v>
      </c>
      <c r="H96" s="217">
        <f>'прил8 (ведом 24)'!M554</f>
        <v>1159.5</v>
      </c>
    </row>
    <row r="97" spans="1:8" ht="36" x14ac:dyDescent="0.35">
      <c r="A97" s="329"/>
      <c r="B97" s="498" t="s">
        <v>74</v>
      </c>
      <c r="C97" s="208" t="s">
        <v>38</v>
      </c>
      <c r="D97" s="209" t="s">
        <v>87</v>
      </c>
      <c r="E97" s="209" t="s">
        <v>36</v>
      </c>
      <c r="F97" s="210" t="s">
        <v>269</v>
      </c>
      <c r="G97" s="33" t="s">
        <v>75</v>
      </c>
      <c r="H97" s="217">
        <f>'прил8 (ведом 24)'!M489</f>
        <v>4638</v>
      </c>
    </row>
    <row r="98" spans="1:8" ht="36" x14ac:dyDescent="0.35">
      <c r="A98" s="329"/>
      <c r="B98" s="494" t="s">
        <v>205</v>
      </c>
      <c r="C98" s="208" t="s">
        <v>38</v>
      </c>
      <c r="D98" s="209" t="s">
        <v>87</v>
      </c>
      <c r="E98" s="209" t="s">
        <v>36</v>
      </c>
      <c r="F98" s="210" t="s">
        <v>270</v>
      </c>
      <c r="G98" s="33"/>
      <c r="H98" s="217">
        <f>H99</f>
        <v>857.4</v>
      </c>
    </row>
    <row r="99" spans="1:8" ht="36" x14ac:dyDescent="0.35">
      <c r="A99" s="329"/>
      <c r="B99" s="498" t="s">
        <v>74</v>
      </c>
      <c r="C99" s="208" t="s">
        <v>38</v>
      </c>
      <c r="D99" s="209" t="s">
        <v>87</v>
      </c>
      <c r="E99" s="209" t="s">
        <v>36</v>
      </c>
      <c r="F99" s="210" t="s">
        <v>270</v>
      </c>
      <c r="G99" s="33" t="s">
        <v>75</v>
      </c>
      <c r="H99" s="217">
        <f>'прил8 (ведом 24)'!M491</f>
        <v>857.4</v>
      </c>
    </row>
    <row r="100" spans="1:8" ht="54" x14ac:dyDescent="0.35">
      <c r="A100" s="329"/>
      <c r="B100" s="564" t="s">
        <v>624</v>
      </c>
      <c r="C100" s="676" t="s">
        <v>38</v>
      </c>
      <c r="D100" s="677" t="s">
        <v>87</v>
      </c>
      <c r="E100" s="677" t="s">
        <v>36</v>
      </c>
      <c r="F100" s="678" t="s">
        <v>625</v>
      </c>
      <c r="G100" s="15"/>
      <c r="H100" s="217">
        <f>H101+H102</f>
        <v>6127.4999999999991</v>
      </c>
    </row>
    <row r="101" spans="1:8" ht="36" x14ac:dyDescent="0.35">
      <c r="A101" s="329"/>
      <c r="B101" s="564" t="s">
        <v>74</v>
      </c>
      <c r="C101" s="676" t="s">
        <v>38</v>
      </c>
      <c r="D101" s="677" t="s">
        <v>87</v>
      </c>
      <c r="E101" s="677" t="s">
        <v>36</v>
      </c>
      <c r="F101" s="678" t="s">
        <v>625</v>
      </c>
      <c r="G101" s="15" t="s">
        <v>75</v>
      </c>
      <c r="H101" s="217">
        <f>'прил8 (ведом 24)'!M493</f>
        <v>6072.5999999999995</v>
      </c>
    </row>
    <row r="102" spans="1:8" ht="18" x14ac:dyDescent="0.35">
      <c r="A102" s="329"/>
      <c r="B102" s="564" t="s">
        <v>55</v>
      </c>
      <c r="C102" s="676" t="s">
        <v>38</v>
      </c>
      <c r="D102" s="677" t="s">
        <v>87</v>
      </c>
      <c r="E102" s="677" t="s">
        <v>36</v>
      </c>
      <c r="F102" s="678" t="s">
        <v>625</v>
      </c>
      <c r="G102" s="15" t="s">
        <v>56</v>
      </c>
      <c r="H102" s="217">
        <f>'прил8 (ведом 24)'!M494</f>
        <v>54.9</v>
      </c>
    </row>
    <row r="103" spans="1:8" ht="162" x14ac:dyDescent="0.35">
      <c r="A103" s="329"/>
      <c r="B103" s="493" t="s">
        <v>264</v>
      </c>
      <c r="C103" s="208" t="s">
        <v>38</v>
      </c>
      <c r="D103" s="209" t="s">
        <v>87</v>
      </c>
      <c r="E103" s="209" t="s">
        <v>36</v>
      </c>
      <c r="F103" s="210" t="s">
        <v>265</v>
      </c>
      <c r="G103" s="33"/>
      <c r="H103" s="217">
        <f>H104</f>
        <v>108.3</v>
      </c>
    </row>
    <row r="104" spans="1:8" ht="36" x14ac:dyDescent="0.35">
      <c r="A104" s="329"/>
      <c r="B104" s="494" t="s">
        <v>74</v>
      </c>
      <c r="C104" s="208" t="s">
        <v>38</v>
      </c>
      <c r="D104" s="209" t="s">
        <v>87</v>
      </c>
      <c r="E104" s="209" t="s">
        <v>36</v>
      </c>
      <c r="F104" s="210" t="s">
        <v>265</v>
      </c>
      <c r="G104" s="33" t="s">
        <v>75</v>
      </c>
      <c r="H104" s="217">
        <f>'прил8 (ведом 24)'!M496</f>
        <v>108.3</v>
      </c>
    </row>
    <row r="105" spans="1:8" ht="90" x14ac:dyDescent="0.35">
      <c r="A105" s="329"/>
      <c r="B105" s="494" t="s">
        <v>341</v>
      </c>
      <c r="C105" s="208" t="s">
        <v>38</v>
      </c>
      <c r="D105" s="209" t="s">
        <v>87</v>
      </c>
      <c r="E105" s="209" t="s">
        <v>36</v>
      </c>
      <c r="F105" s="210" t="s">
        <v>266</v>
      </c>
      <c r="G105" s="33"/>
      <c r="H105" s="217">
        <f>SUM(H106:H107)</f>
        <v>13000</v>
      </c>
    </row>
    <row r="106" spans="1:8" ht="90" x14ac:dyDescent="0.35">
      <c r="A106" s="329"/>
      <c r="B106" s="497" t="s">
        <v>48</v>
      </c>
      <c r="C106" s="676" t="s">
        <v>38</v>
      </c>
      <c r="D106" s="677" t="s">
        <v>87</v>
      </c>
      <c r="E106" s="677" t="s">
        <v>36</v>
      </c>
      <c r="F106" s="678" t="s">
        <v>266</v>
      </c>
      <c r="G106" s="15" t="s">
        <v>49</v>
      </c>
      <c r="H106" s="217">
        <f>'прил8 (ведом 24)'!M498</f>
        <v>900</v>
      </c>
    </row>
    <row r="107" spans="1:8" ht="36" x14ac:dyDescent="0.35">
      <c r="A107" s="329"/>
      <c r="B107" s="494" t="s">
        <v>74</v>
      </c>
      <c r="C107" s="208" t="s">
        <v>38</v>
      </c>
      <c r="D107" s="209" t="s">
        <v>87</v>
      </c>
      <c r="E107" s="209" t="s">
        <v>36</v>
      </c>
      <c r="F107" s="210" t="s">
        <v>266</v>
      </c>
      <c r="G107" s="33" t="s">
        <v>75</v>
      </c>
      <c r="H107" s="217">
        <f>'прил8 (ведом 24)'!M499</f>
        <v>12100</v>
      </c>
    </row>
    <row r="108" spans="1:8" ht="18" x14ac:dyDescent="0.35">
      <c r="A108" s="329"/>
      <c r="B108" s="494" t="s">
        <v>273</v>
      </c>
      <c r="C108" s="208" t="s">
        <v>38</v>
      </c>
      <c r="D108" s="209" t="s">
        <v>87</v>
      </c>
      <c r="E108" s="209" t="s">
        <v>38</v>
      </c>
      <c r="F108" s="210" t="s">
        <v>43</v>
      </c>
      <c r="G108" s="33"/>
      <c r="H108" s="217">
        <f>H109</f>
        <v>54</v>
      </c>
    </row>
    <row r="109" spans="1:8" ht="36" x14ac:dyDescent="0.35">
      <c r="A109" s="329"/>
      <c r="B109" s="494" t="s">
        <v>274</v>
      </c>
      <c r="C109" s="208" t="s">
        <v>38</v>
      </c>
      <c r="D109" s="209" t="s">
        <v>87</v>
      </c>
      <c r="E109" s="209" t="s">
        <v>38</v>
      </c>
      <c r="F109" s="210" t="s">
        <v>275</v>
      </c>
      <c r="G109" s="33"/>
      <c r="H109" s="217">
        <f>H110</f>
        <v>54</v>
      </c>
    </row>
    <row r="110" spans="1:8" ht="18" x14ac:dyDescent="0.35">
      <c r="A110" s="329"/>
      <c r="B110" s="494" t="s">
        <v>118</v>
      </c>
      <c r="C110" s="208" t="s">
        <v>38</v>
      </c>
      <c r="D110" s="209" t="s">
        <v>87</v>
      </c>
      <c r="E110" s="209" t="s">
        <v>38</v>
      </c>
      <c r="F110" s="210" t="s">
        <v>275</v>
      </c>
      <c r="G110" s="33" t="s">
        <v>119</v>
      </c>
      <c r="H110" s="217">
        <f>'прил8 (ведом 24)'!M511</f>
        <v>54</v>
      </c>
    </row>
    <row r="111" spans="1:8" ht="36" x14ac:dyDescent="0.35">
      <c r="A111" s="329"/>
      <c r="B111" s="493" t="s">
        <v>209</v>
      </c>
      <c r="C111" s="208" t="s">
        <v>38</v>
      </c>
      <c r="D111" s="209" t="s">
        <v>29</v>
      </c>
      <c r="E111" s="209" t="s">
        <v>42</v>
      </c>
      <c r="F111" s="210" t="s">
        <v>43</v>
      </c>
      <c r="G111" s="238"/>
      <c r="H111" s="217">
        <f>H112+H136+H141+H144+H147</f>
        <v>103332.36800000003</v>
      </c>
    </row>
    <row r="112" spans="1:8" ht="36" x14ac:dyDescent="0.35">
      <c r="A112" s="329"/>
      <c r="B112" s="493" t="s">
        <v>278</v>
      </c>
      <c r="C112" s="208" t="s">
        <v>38</v>
      </c>
      <c r="D112" s="209" t="s">
        <v>29</v>
      </c>
      <c r="E112" s="209" t="s">
        <v>36</v>
      </c>
      <c r="F112" s="210" t="s">
        <v>43</v>
      </c>
      <c r="G112" s="238"/>
      <c r="H112" s="217">
        <f>H113+H117+H134+H131+H122+H125+H127+H129</f>
        <v>94914.650000000023</v>
      </c>
    </row>
    <row r="113" spans="1:8" ht="36" x14ac:dyDescent="0.35">
      <c r="A113" s="329"/>
      <c r="B113" s="493" t="s">
        <v>46</v>
      </c>
      <c r="C113" s="208" t="s">
        <v>38</v>
      </c>
      <c r="D113" s="209" t="s">
        <v>29</v>
      </c>
      <c r="E113" s="209" t="s">
        <v>36</v>
      </c>
      <c r="F113" s="210" t="s">
        <v>47</v>
      </c>
      <c r="G113" s="33"/>
      <c r="H113" s="217">
        <f>SUM(H114:H116)</f>
        <v>13705.739</v>
      </c>
    </row>
    <row r="114" spans="1:8" ht="90" x14ac:dyDescent="0.35">
      <c r="A114" s="329"/>
      <c r="B114" s="493" t="s">
        <v>48</v>
      </c>
      <c r="C114" s="208" t="s">
        <v>38</v>
      </c>
      <c r="D114" s="209" t="s">
        <v>29</v>
      </c>
      <c r="E114" s="209" t="s">
        <v>36</v>
      </c>
      <c r="F114" s="210" t="s">
        <v>47</v>
      </c>
      <c r="G114" s="33" t="s">
        <v>49</v>
      </c>
      <c r="H114" s="217">
        <f>'прил8 (ведом 24)'!M515</f>
        <v>12881.5</v>
      </c>
    </row>
    <row r="115" spans="1:8" ht="36" x14ac:dyDescent="0.35">
      <c r="A115" s="329"/>
      <c r="B115" s="493" t="s">
        <v>53</v>
      </c>
      <c r="C115" s="208" t="s">
        <v>38</v>
      </c>
      <c r="D115" s="209" t="s">
        <v>29</v>
      </c>
      <c r="E115" s="209" t="s">
        <v>36</v>
      </c>
      <c r="F115" s="210" t="s">
        <v>47</v>
      </c>
      <c r="G115" s="33" t="s">
        <v>54</v>
      </c>
      <c r="H115" s="217">
        <f>'прил8 (ведом 24)'!M516</f>
        <v>807.73900000000003</v>
      </c>
    </row>
    <row r="116" spans="1:8" ht="18" x14ac:dyDescent="0.35">
      <c r="A116" s="329"/>
      <c r="B116" s="493" t="s">
        <v>55</v>
      </c>
      <c r="C116" s="208" t="s">
        <v>38</v>
      </c>
      <c r="D116" s="209" t="s">
        <v>29</v>
      </c>
      <c r="E116" s="209" t="s">
        <v>36</v>
      </c>
      <c r="F116" s="210" t="s">
        <v>47</v>
      </c>
      <c r="G116" s="33" t="s">
        <v>56</v>
      </c>
      <c r="H116" s="217">
        <f>'прил8 (ведом 24)'!M517</f>
        <v>16.5</v>
      </c>
    </row>
    <row r="117" spans="1:8" ht="36" x14ac:dyDescent="0.35">
      <c r="A117" s="329"/>
      <c r="B117" s="493" t="s">
        <v>454</v>
      </c>
      <c r="C117" s="208" t="s">
        <v>38</v>
      </c>
      <c r="D117" s="209" t="s">
        <v>29</v>
      </c>
      <c r="E117" s="209" t="s">
        <v>36</v>
      </c>
      <c r="F117" s="210" t="s">
        <v>89</v>
      </c>
      <c r="G117" s="33"/>
      <c r="H117" s="217">
        <f>SUM(H118:H121)</f>
        <v>66067.911000000007</v>
      </c>
    </row>
    <row r="118" spans="1:8" ht="90" x14ac:dyDescent="0.35">
      <c r="A118" s="329"/>
      <c r="B118" s="493" t="s">
        <v>48</v>
      </c>
      <c r="C118" s="208" t="s">
        <v>38</v>
      </c>
      <c r="D118" s="209" t="s">
        <v>29</v>
      </c>
      <c r="E118" s="209" t="s">
        <v>36</v>
      </c>
      <c r="F118" s="210" t="s">
        <v>89</v>
      </c>
      <c r="G118" s="33" t="s">
        <v>49</v>
      </c>
      <c r="H118" s="217">
        <f>'прил8 (ведом 24)'!M519</f>
        <v>40927.799999999996</v>
      </c>
    </row>
    <row r="119" spans="1:8" ht="36" x14ac:dyDescent="0.35">
      <c r="A119" s="329"/>
      <c r="B119" s="493" t="s">
        <v>53</v>
      </c>
      <c r="C119" s="208" t="s">
        <v>38</v>
      </c>
      <c r="D119" s="209" t="s">
        <v>29</v>
      </c>
      <c r="E119" s="209" t="s">
        <v>36</v>
      </c>
      <c r="F119" s="210" t="s">
        <v>89</v>
      </c>
      <c r="G119" s="33" t="s">
        <v>54</v>
      </c>
      <c r="H119" s="217">
        <f>'прил8 (ведом 24)'!M520</f>
        <v>3264.7109999999998</v>
      </c>
    </row>
    <row r="120" spans="1:8" ht="36" x14ac:dyDescent="0.35">
      <c r="A120" s="329"/>
      <c r="B120" s="494" t="s">
        <v>74</v>
      </c>
      <c r="C120" s="208" t="s">
        <v>38</v>
      </c>
      <c r="D120" s="209" t="s">
        <v>29</v>
      </c>
      <c r="E120" s="209" t="s">
        <v>36</v>
      </c>
      <c r="F120" s="210" t="s">
        <v>89</v>
      </c>
      <c r="G120" s="33" t="s">
        <v>75</v>
      </c>
      <c r="H120" s="217">
        <f>'прил8 (ведом 24)'!M521</f>
        <v>21870.600000000002</v>
      </c>
    </row>
    <row r="121" spans="1:8" ht="18" x14ac:dyDescent="0.35">
      <c r="A121" s="329"/>
      <c r="B121" s="493" t="s">
        <v>55</v>
      </c>
      <c r="C121" s="208" t="s">
        <v>38</v>
      </c>
      <c r="D121" s="209" t="s">
        <v>29</v>
      </c>
      <c r="E121" s="209" t="s">
        <v>36</v>
      </c>
      <c r="F121" s="210" t="s">
        <v>89</v>
      </c>
      <c r="G121" s="33" t="s">
        <v>56</v>
      </c>
      <c r="H121" s="217">
        <f>'прил8 (ведом 24)'!M522</f>
        <v>4.8</v>
      </c>
    </row>
    <row r="122" spans="1:8" ht="36" x14ac:dyDescent="0.35">
      <c r="A122" s="329"/>
      <c r="B122" s="494" t="s">
        <v>205</v>
      </c>
      <c r="C122" s="208" t="s">
        <v>38</v>
      </c>
      <c r="D122" s="209" t="s">
        <v>29</v>
      </c>
      <c r="E122" s="209" t="s">
        <v>36</v>
      </c>
      <c r="F122" s="210" t="s">
        <v>270</v>
      </c>
      <c r="G122" s="33"/>
      <c r="H122" s="217">
        <f>H123+H124</f>
        <v>4213.8</v>
      </c>
    </row>
    <row r="123" spans="1:8" ht="36" x14ac:dyDescent="0.35">
      <c r="A123" s="329"/>
      <c r="B123" s="494" t="s">
        <v>53</v>
      </c>
      <c r="C123" s="208" t="s">
        <v>38</v>
      </c>
      <c r="D123" s="209" t="s">
        <v>29</v>
      </c>
      <c r="E123" s="209" t="s">
        <v>36</v>
      </c>
      <c r="F123" s="210" t="s">
        <v>270</v>
      </c>
      <c r="G123" s="33" t="s">
        <v>54</v>
      </c>
      <c r="H123" s="217">
        <f>'прил8 (ведом 24)'!M524</f>
        <v>10</v>
      </c>
    </row>
    <row r="124" spans="1:8" ht="36" x14ac:dyDescent="0.35">
      <c r="A124" s="329"/>
      <c r="B124" s="497" t="s">
        <v>74</v>
      </c>
      <c r="C124" s="676" t="s">
        <v>38</v>
      </c>
      <c r="D124" s="677" t="s">
        <v>29</v>
      </c>
      <c r="E124" s="677" t="s">
        <v>36</v>
      </c>
      <c r="F124" s="678" t="s">
        <v>270</v>
      </c>
      <c r="G124" s="15" t="s">
        <v>75</v>
      </c>
      <c r="H124" s="217">
        <f>'прил8 (ведом 24)'!M525</f>
        <v>4203.8</v>
      </c>
    </row>
    <row r="125" spans="1:8" ht="36" x14ac:dyDescent="0.35">
      <c r="A125" s="329"/>
      <c r="B125" s="529" t="s">
        <v>496</v>
      </c>
      <c r="C125" s="97" t="s">
        <v>38</v>
      </c>
      <c r="D125" s="87" t="s">
        <v>29</v>
      </c>
      <c r="E125" s="87" t="s">
        <v>36</v>
      </c>
      <c r="F125" s="88" t="s">
        <v>495</v>
      </c>
      <c r="G125" s="89"/>
      <c r="H125" s="217">
        <f>H126</f>
        <v>4.5</v>
      </c>
    </row>
    <row r="126" spans="1:8" ht="36" x14ac:dyDescent="0.35">
      <c r="A126" s="329"/>
      <c r="B126" s="497" t="s">
        <v>53</v>
      </c>
      <c r="C126" s="628" t="s">
        <v>38</v>
      </c>
      <c r="D126" s="629" t="s">
        <v>29</v>
      </c>
      <c r="E126" s="629" t="s">
        <v>36</v>
      </c>
      <c r="F126" s="270" t="s">
        <v>495</v>
      </c>
      <c r="G126" s="474" t="s">
        <v>54</v>
      </c>
      <c r="H126" s="217">
        <f>'прил8 (ведом 24)'!M505</f>
        <v>4.5</v>
      </c>
    </row>
    <row r="127" spans="1:8" ht="54" x14ac:dyDescent="0.35">
      <c r="A127" s="329"/>
      <c r="B127" s="563" t="s">
        <v>375</v>
      </c>
      <c r="C127" s="669" t="s">
        <v>38</v>
      </c>
      <c r="D127" s="670" t="s">
        <v>29</v>
      </c>
      <c r="E127" s="670" t="s">
        <v>36</v>
      </c>
      <c r="F127" s="397" t="s">
        <v>374</v>
      </c>
      <c r="G127" s="83"/>
      <c r="H127" s="217">
        <f>H128</f>
        <v>65.7</v>
      </c>
    </row>
    <row r="128" spans="1:8" ht="36" x14ac:dyDescent="0.35">
      <c r="A128" s="329"/>
      <c r="B128" s="563" t="s">
        <v>53</v>
      </c>
      <c r="C128" s="669" t="s">
        <v>38</v>
      </c>
      <c r="D128" s="670" t="s">
        <v>29</v>
      </c>
      <c r="E128" s="670" t="s">
        <v>36</v>
      </c>
      <c r="F128" s="397" t="s">
        <v>374</v>
      </c>
      <c r="G128" s="83" t="s">
        <v>54</v>
      </c>
      <c r="H128" s="217">
        <f>'прил8 (ведом 24)'!M393</f>
        <v>65.7</v>
      </c>
    </row>
    <row r="129" spans="1:8" ht="36" x14ac:dyDescent="0.35">
      <c r="A129" s="329"/>
      <c r="B129" s="497" t="s">
        <v>668</v>
      </c>
      <c r="C129" s="676" t="s">
        <v>38</v>
      </c>
      <c r="D129" s="677" t="s">
        <v>29</v>
      </c>
      <c r="E129" s="677" t="s">
        <v>36</v>
      </c>
      <c r="F129" s="678" t="s">
        <v>669</v>
      </c>
      <c r="G129" s="15"/>
      <c r="H129" s="217">
        <f>H130</f>
        <v>518.6</v>
      </c>
    </row>
    <row r="130" spans="1:8" ht="36" x14ac:dyDescent="0.35">
      <c r="A130" s="329"/>
      <c r="B130" s="497" t="s">
        <v>74</v>
      </c>
      <c r="C130" s="676" t="s">
        <v>38</v>
      </c>
      <c r="D130" s="677" t="s">
        <v>29</v>
      </c>
      <c r="E130" s="677" t="s">
        <v>36</v>
      </c>
      <c r="F130" s="678" t="s">
        <v>669</v>
      </c>
      <c r="G130" s="15" t="s">
        <v>75</v>
      </c>
      <c r="H130" s="217">
        <f>'прил8 (ведом 24)'!M527</f>
        <v>518.6</v>
      </c>
    </row>
    <row r="131" spans="1:8" ht="90" x14ac:dyDescent="0.35">
      <c r="A131" s="329"/>
      <c r="B131" s="494" t="s">
        <v>341</v>
      </c>
      <c r="C131" s="208" t="s">
        <v>38</v>
      </c>
      <c r="D131" s="209" t="s">
        <v>29</v>
      </c>
      <c r="E131" s="209" t="s">
        <v>36</v>
      </c>
      <c r="F131" s="210" t="s">
        <v>266</v>
      </c>
      <c r="G131" s="33"/>
      <c r="H131" s="217">
        <f>H132+H133</f>
        <v>7959.3</v>
      </c>
    </row>
    <row r="132" spans="1:8" ht="90" x14ac:dyDescent="0.35">
      <c r="A132" s="329"/>
      <c r="B132" s="494" t="s">
        <v>48</v>
      </c>
      <c r="C132" s="208" t="s">
        <v>38</v>
      </c>
      <c r="D132" s="209" t="s">
        <v>29</v>
      </c>
      <c r="E132" s="209" t="s">
        <v>36</v>
      </c>
      <c r="F132" s="210" t="s">
        <v>266</v>
      </c>
      <c r="G132" s="33" t="s">
        <v>49</v>
      </c>
      <c r="H132" s="217">
        <f>'прил8 (ведом 24)'!M529</f>
        <v>7200</v>
      </c>
    </row>
    <row r="133" spans="1:8" ht="36" x14ac:dyDescent="0.35">
      <c r="A133" s="329"/>
      <c r="B133" s="497" t="s">
        <v>53</v>
      </c>
      <c r="C133" s="676" t="s">
        <v>38</v>
      </c>
      <c r="D133" s="677" t="s">
        <v>29</v>
      </c>
      <c r="E133" s="677" t="s">
        <v>36</v>
      </c>
      <c r="F133" s="678" t="s">
        <v>266</v>
      </c>
      <c r="G133" s="15" t="s">
        <v>54</v>
      </c>
      <c r="H133" s="217">
        <f>'прил8 (ведом 24)'!M530</f>
        <v>759.3</v>
      </c>
    </row>
    <row r="134" spans="1:8" ht="216" x14ac:dyDescent="0.35">
      <c r="A134" s="329"/>
      <c r="B134" s="494" t="s">
        <v>426</v>
      </c>
      <c r="C134" s="208" t="s">
        <v>38</v>
      </c>
      <c r="D134" s="209" t="s">
        <v>29</v>
      </c>
      <c r="E134" s="209" t="s">
        <v>36</v>
      </c>
      <c r="F134" s="210" t="s">
        <v>342</v>
      </c>
      <c r="G134" s="33"/>
      <c r="H134" s="217">
        <f>SUM(H135:H135)</f>
        <v>2379.1</v>
      </c>
    </row>
    <row r="135" spans="1:8" ht="36" x14ac:dyDescent="0.35">
      <c r="A135" s="329"/>
      <c r="B135" s="493" t="s">
        <v>74</v>
      </c>
      <c r="C135" s="208" t="s">
        <v>38</v>
      </c>
      <c r="D135" s="209" t="s">
        <v>29</v>
      </c>
      <c r="E135" s="209" t="s">
        <v>36</v>
      </c>
      <c r="F135" s="210" t="s">
        <v>342</v>
      </c>
      <c r="G135" s="33" t="s">
        <v>75</v>
      </c>
      <c r="H135" s="217">
        <f>'прил8 (ведом 24)'!M479</f>
        <v>2379.1</v>
      </c>
    </row>
    <row r="136" spans="1:8" ht="36" x14ac:dyDescent="0.35">
      <c r="A136" s="329"/>
      <c r="B136" s="494" t="s">
        <v>277</v>
      </c>
      <c r="C136" s="208" t="s">
        <v>38</v>
      </c>
      <c r="D136" s="209" t="s">
        <v>29</v>
      </c>
      <c r="E136" s="209" t="s">
        <v>38</v>
      </c>
      <c r="F136" s="210" t="s">
        <v>43</v>
      </c>
      <c r="G136" s="33"/>
      <c r="H136" s="217">
        <f>H137+H139</f>
        <v>7962.8</v>
      </c>
    </row>
    <row r="137" spans="1:8" ht="36" x14ac:dyDescent="0.35">
      <c r="A137" s="329"/>
      <c r="B137" s="494" t="s">
        <v>460</v>
      </c>
      <c r="C137" s="208" t="s">
        <v>38</v>
      </c>
      <c r="D137" s="209" t="s">
        <v>29</v>
      </c>
      <c r="E137" s="209" t="s">
        <v>38</v>
      </c>
      <c r="F137" s="210" t="s">
        <v>459</v>
      </c>
      <c r="G137" s="33"/>
      <c r="H137" s="217">
        <f>H138</f>
        <v>2394.8000000000002</v>
      </c>
    </row>
    <row r="138" spans="1:8" ht="36" x14ac:dyDescent="0.35">
      <c r="A138" s="329"/>
      <c r="B138" s="494" t="s">
        <v>74</v>
      </c>
      <c r="C138" s="208" t="s">
        <v>38</v>
      </c>
      <c r="D138" s="209" t="s">
        <v>29</v>
      </c>
      <c r="E138" s="209" t="s">
        <v>38</v>
      </c>
      <c r="F138" s="210" t="s">
        <v>459</v>
      </c>
      <c r="G138" s="33" t="s">
        <v>75</v>
      </c>
      <c r="H138" s="217">
        <f>'прил8 (ведом 24)'!M533</f>
        <v>2394.8000000000002</v>
      </c>
    </row>
    <row r="139" spans="1:8" ht="108" x14ac:dyDescent="0.35">
      <c r="A139" s="329"/>
      <c r="B139" s="494" t="s">
        <v>431</v>
      </c>
      <c r="C139" s="208" t="s">
        <v>38</v>
      </c>
      <c r="D139" s="209" t="s">
        <v>29</v>
      </c>
      <c r="E139" s="209" t="s">
        <v>38</v>
      </c>
      <c r="F139" s="210" t="s">
        <v>430</v>
      </c>
      <c r="G139" s="33"/>
      <c r="H139" s="217">
        <f>H140</f>
        <v>5568</v>
      </c>
    </row>
    <row r="140" spans="1:8" ht="36" x14ac:dyDescent="0.35">
      <c r="A140" s="329"/>
      <c r="B140" s="494" t="s">
        <v>74</v>
      </c>
      <c r="C140" s="208" t="s">
        <v>38</v>
      </c>
      <c r="D140" s="209" t="s">
        <v>29</v>
      </c>
      <c r="E140" s="209" t="s">
        <v>38</v>
      </c>
      <c r="F140" s="210" t="s">
        <v>430</v>
      </c>
      <c r="G140" s="33" t="s">
        <v>75</v>
      </c>
      <c r="H140" s="217">
        <f>'прил8 (ведом 24)'!M535</f>
        <v>5568</v>
      </c>
    </row>
    <row r="141" spans="1:8" ht="36" x14ac:dyDescent="0.35">
      <c r="A141" s="329"/>
      <c r="B141" s="499" t="s">
        <v>347</v>
      </c>
      <c r="C141" s="669" t="s">
        <v>38</v>
      </c>
      <c r="D141" s="670" t="s">
        <v>29</v>
      </c>
      <c r="E141" s="670" t="s">
        <v>61</v>
      </c>
      <c r="F141" s="671" t="s">
        <v>43</v>
      </c>
      <c r="G141" s="238"/>
      <c r="H141" s="217">
        <f>H142</f>
        <v>233.11800000000002</v>
      </c>
    </row>
    <row r="142" spans="1:8" ht="54" x14ac:dyDescent="0.35">
      <c r="A142" s="329"/>
      <c r="B142" s="499" t="s">
        <v>462</v>
      </c>
      <c r="C142" s="669" t="s">
        <v>38</v>
      </c>
      <c r="D142" s="670" t="s">
        <v>29</v>
      </c>
      <c r="E142" s="670" t="s">
        <v>61</v>
      </c>
      <c r="F142" s="671" t="s">
        <v>103</v>
      </c>
      <c r="G142" s="238"/>
      <c r="H142" s="217">
        <f>H143</f>
        <v>233.11800000000002</v>
      </c>
    </row>
    <row r="143" spans="1:8" ht="36" x14ac:dyDescent="0.35">
      <c r="A143" s="329"/>
      <c r="B143" s="499" t="s">
        <v>53</v>
      </c>
      <c r="C143" s="669" t="s">
        <v>38</v>
      </c>
      <c r="D143" s="670" t="s">
        <v>29</v>
      </c>
      <c r="E143" s="670" t="s">
        <v>61</v>
      </c>
      <c r="F143" s="671" t="s">
        <v>103</v>
      </c>
      <c r="G143" s="238" t="s">
        <v>54</v>
      </c>
      <c r="H143" s="217">
        <f>'прил8 (ведом 24)'!M396</f>
        <v>233.11800000000002</v>
      </c>
    </row>
    <row r="144" spans="1:8" ht="36" x14ac:dyDescent="0.35">
      <c r="A144" s="329"/>
      <c r="B144" s="499" t="s">
        <v>458</v>
      </c>
      <c r="C144" s="669" t="s">
        <v>38</v>
      </c>
      <c r="D144" s="670" t="s">
        <v>29</v>
      </c>
      <c r="E144" s="670" t="s">
        <v>50</v>
      </c>
      <c r="F144" s="671" t="s">
        <v>43</v>
      </c>
      <c r="G144" s="238"/>
      <c r="H144" s="217">
        <f>H145</f>
        <v>107</v>
      </c>
    </row>
    <row r="145" spans="1:8" ht="18" x14ac:dyDescent="0.35">
      <c r="A145" s="329"/>
      <c r="B145" s="499" t="s">
        <v>463</v>
      </c>
      <c r="C145" s="669" t="s">
        <v>38</v>
      </c>
      <c r="D145" s="670" t="s">
        <v>29</v>
      </c>
      <c r="E145" s="670" t="s">
        <v>50</v>
      </c>
      <c r="F145" s="671" t="s">
        <v>457</v>
      </c>
      <c r="G145" s="238"/>
      <c r="H145" s="217">
        <f>H146</f>
        <v>107</v>
      </c>
    </row>
    <row r="146" spans="1:8" ht="36" x14ac:dyDescent="0.35">
      <c r="A146" s="329"/>
      <c r="B146" s="499" t="s">
        <v>53</v>
      </c>
      <c r="C146" s="669" t="s">
        <v>38</v>
      </c>
      <c r="D146" s="670" t="s">
        <v>29</v>
      </c>
      <c r="E146" s="670" t="s">
        <v>50</v>
      </c>
      <c r="F146" s="671" t="s">
        <v>457</v>
      </c>
      <c r="G146" s="238" t="s">
        <v>54</v>
      </c>
      <c r="H146" s="217">
        <f>'прил8 (ведом 24)'!M399</f>
        <v>107</v>
      </c>
    </row>
    <row r="147" spans="1:8" ht="36" x14ac:dyDescent="0.35">
      <c r="A147" s="329"/>
      <c r="B147" s="499" t="s">
        <v>461</v>
      </c>
      <c r="C147" s="669" t="s">
        <v>38</v>
      </c>
      <c r="D147" s="670" t="s">
        <v>29</v>
      </c>
      <c r="E147" s="670" t="s">
        <v>63</v>
      </c>
      <c r="F147" s="671" t="s">
        <v>43</v>
      </c>
      <c r="G147" s="238"/>
      <c r="H147" s="217">
        <f>H148</f>
        <v>114.8</v>
      </c>
    </row>
    <row r="148" spans="1:8" ht="36" x14ac:dyDescent="0.35">
      <c r="A148" s="329"/>
      <c r="B148" s="499" t="s">
        <v>125</v>
      </c>
      <c r="C148" s="669" t="s">
        <v>38</v>
      </c>
      <c r="D148" s="670" t="s">
        <v>29</v>
      </c>
      <c r="E148" s="670" t="s">
        <v>63</v>
      </c>
      <c r="F148" s="671" t="s">
        <v>88</v>
      </c>
      <c r="G148" s="238"/>
      <c r="H148" s="217">
        <f>H149</f>
        <v>114.8</v>
      </c>
    </row>
    <row r="149" spans="1:8" ht="36" x14ac:dyDescent="0.35">
      <c r="A149" s="329"/>
      <c r="B149" s="499" t="s">
        <v>53</v>
      </c>
      <c r="C149" s="669" t="s">
        <v>38</v>
      </c>
      <c r="D149" s="670" t="s">
        <v>29</v>
      </c>
      <c r="E149" s="670" t="s">
        <v>63</v>
      </c>
      <c r="F149" s="671" t="s">
        <v>88</v>
      </c>
      <c r="G149" s="238" t="s">
        <v>54</v>
      </c>
      <c r="H149" s="217">
        <f>'прил8 (ведом 24)'!M402</f>
        <v>114.8</v>
      </c>
    </row>
    <row r="150" spans="1:8" ht="18" x14ac:dyDescent="0.35">
      <c r="A150" s="329"/>
      <c r="B150" s="500"/>
      <c r="C150" s="669"/>
      <c r="D150" s="670"/>
      <c r="E150" s="670"/>
      <c r="F150" s="671"/>
      <c r="G150" s="238"/>
      <c r="H150" s="217"/>
    </row>
    <row r="151" spans="1:8" s="339" customFormat="1" ht="52.2" x14ac:dyDescent="0.3">
      <c r="A151" s="344">
        <v>2</v>
      </c>
      <c r="B151" s="492" t="s">
        <v>210</v>
      </c>
      <c r="C151" s="345" t="s">
        <v>61</v>
      </c>
      <c r="D151" s="345" t="s">
        <v>41</v>
      </c>
      <c r="E151" s="345" t="s">
        <v>42</v>
      </c>
      <c r="F151" s="346" t="s">
        <v>43</v>
      </c>
      <c r="G151" s="338"/>
      <c r="H151" s="251">
        <f>H152+H188+H195</f>
        <v>142881.49999999997</v>
      </c>
    </row>
    <row r="152" spans="1:8" s="339" customFormat="1" ht="54" x14ac:dyDescent="0.35">
      <c r="A152" s="329"/>
      <c r="B152" s="501" t="s">
        <v>211</v>
      </c>
      <c r="C152" s="208" t="s">
        <v>61</v>
      </c>
      <c r="D152" s="209" t="s">
        <v>44</v>
      </c>
      <c r="E152" s="209" t="s">
        <v>42</v>
      </c>
      <c r="F152" s="210" t="s">
        <v>43</v>
      </c>
      <c r="G152" s="238"/>
      <c r="H152" s="217">
        <f>H153+H164+H167+H178+H185</f>
        <v>125058.79999999997</v>
      </c>
    </row>
    <row r="153" spans="1:8" s="339" customFormat="1" ht="36" x14ac:dyDescent="0.35">
      <c r="A153" s="329"/>
      <c r="B153" s="501" t="s">
        <v>272</v>
      </c>
      <c r="C153" s="208" t="s">
        <v>61</v>
      </c>
      <c r="D153" s="209" t="s">
        <v>44</v>
      </c>
      <c r="E153" s="209" t="s">
        <v>36</v>
      </c>
      <c r="F153" s="210" t="s">
        <v>43</v>
      </c>
      <c r="G153" s="238"/>
      <c r="H153" s="217">
        <f>H154+H158+H156+H162+H160</f>
        <v>88492.599999999962</v>
      </c>
    </row>
    <row r="154" spans="1:8" s="339" customFormat="1" ht="36" x14ac:dyDescent="0.35">
      <c r="A154" s="329"/>
      <c r="B154" s="493" t="s">
        <v>454</v>
      </c>
      <c r="C154" s="208" t="s">
        <v>61</v>
      </c>
      <c r="D154" s="209" t="s">
        <v>44</v>
      </c>
      <c r="E154" s="209" t="s">
        <v>36</v>
      </c>
      <c r="F154" s="210" t="s">
        <v>89</v>
      </c>
      <c r="G154" s="33"/>
      <c r="H154" s="217">
        <f>H155</f>
        <v>70395.39999999998</v>
      </c>
    </row>
    <row r="155" spans="1:8" s="339" customFormat="1" ht="36" x14ac:dyDescent="0.35">
      <c r="A155" s="329"/>
      <c r="B155" s="496" t="s">
        <v>74</v>
      </c>
      <c r="C155" s="208" t="s">
        <v>61</v>
      </c>
      <c r="D155" s="209" t="s">
        <v>44</v>
      </c>
      <c r="E155" s="209" t="s">
        <v>36</v>
      </c>
      <c r="F155" s="210" t="s">
        <v>89</v>
      </c>
      <c r="G155" s="33" t="s">
        <v>75</v>
      </c>
      <c r="H155" s="217">
        <f>'прил8 (ведом 24)'!M573</f>
        <v>70395.39999999998</v>
      </c>
    </row>
    <row r="156" spans="1:8" s="339" customFormat="1" ht="18" x14ac:dyDescent="0.35">
      <c r="A156" s="329"/>
      <c r="B156" s="502" t="s">
        <v>455</v>
      </c>
      <c r="C156" s="208" t="s">
        <v>61</v>
      </c>
      <c r="D156" s="209" t="s">
        <v>44</v>
      </c>
      <c r="E156" s="209" t="s">
        <v>36</v>
      </c>
      <c r="F156" s="210" t="s">
        <v>376</v>
      </c>
      <c r="G156" s="33"/>
      <c r="H156" s="217">
        <f>H157</f>
        <v>1291.9000000000001</v>
      </c>
    </row>
    <row r="157" spans="1:8" s="339" customFormat="1" ht="36" x14ac:dyDescent="0.35">
      <c r="A157" s="329"/>
      <c r="B157" s="502" t="s">
        <v>74</v>
      </c>
      <c r="C157" s="208" t="s">
        <v>61</v>
      </c>
      <c r="D157" s="209" t="s">
        <v>44</v>
      </c>
      <c r="E157" s="209" t="s">
        <v>36</v>
      </c>
      <c r="F157" s="210" t="s">
        <v>376</v>
      </c>
      <c r="G157" s="33" t="s">
        <v>75</v>
      </c>
      <c r="H157" s="217">
        <f>'прил8 (ведом 24)'!M575</f>
        <v>1291.9000000000001</v>
      </c>
    </row>
    <row r="158" spans="1:8" s="339" customFormat="1" ht="36" x14ac:dyDescent="0.35">
      <c r="A158" s="329"/>
      <c r="B158" s="502" t="s">
        <v>311</v>
      </c>
      <c r="C158" s="208" t="s">
        <v>61</v>
      </c>
      <c r="D158" s="209" t="s">
        <v>44</v>
      </c>
      <c r="E158" s="209" t="s">
        <v>36</v>
      </c>
      <c r="F158" s="210" t="s">
        <v>312</v>
      </c>
      <c r="G158" s="33"/>
      <c r="H158" s="217">
        <f>H159</f>
        <v>10223.4</v>
      </c>
    </row>
    <row r="159" spans="1:8" s="339" customFormat="1" ht="36" x14ac:dyDescent="0.35">
      <c r="A159" s="329"/>
      <c r="B159" s="502" t="s">
        <v>74</v>
      </c>
      <c r="C159" s="208" t="s">
        <v>61</v>
      </c>
      <c r="D159" s="209" t="s">
        <v>44</v>
      </c>
      <c r="E159" s="209" t="s">
        <v>36</v>
      </c>
      <c r="F159" s="210" t="s">
        <v>312</v>
      </c>
      <c r="G159" s="33" t="s">
        <v>75</v>
      </c>
      <c r="H159" s="217">
        <f>'прил8 (ведом 24)'!M577</f>
        <v>10223.4</v>
      </c>
    </row>
    <row r="160" spans="1:8" s="339" customFormat="1" ht="54" x14ac:dyDescent="0.35">
      <c r="A160" s="329"/>
      <c r="B160" s="504" t="s">
        <v>673</v>
      </c>
      <c r="C160" s="676" t="s">
        <v>61</v>
      </c>
      <c r="D160" s="677" t="s">
        <v>44</v>
      </c>
      <c r="E160" s="677" t="s">
        <v>36</v>
      </c>
      <c r="F160" s="678" t="s">
        <v>672</v>
      </c>
      <c r="G160" s="15"/>
      <c r="H160" s="217">
        <f>H161</f>
        <v>500</v>
      </c>
    </row>
    <row r="161" spans="1:8" s="339" customFormat="1" ht="36" x14ac:dyDescent="0.35">
      <c r="A161" s="329"/>
      <c r="B161" s="504" t="s">
        <v>74</v>
      </c>
      <c r="C161" s="676" t="s">
        <v>61</v>
      </c>
      <c r="D161" s="677" t="s">
        <v>44</v>
      </c>
      <c r="E161" s="677" t="s">
        <v>36</v>
      </c>
      <c r="F161" s="678" t="s">
        <v>672</v>
      </c>
      <c r="G161" s="15" t="s">
        <v>75</v>
      </c>
      <c r="H161" s="217">
        <f>'прил8 (ведом 24)'!M579</f>
        <v>500</v>
      </c>
    </row>
    <row r="162" spans="1:8" s="339" customFormat="1" ht="162" x14ac:dyDescent="0.35">
      <c r="A162" s="329"/>
      <c r="B162" s="504" t="s">
        <v>612</v>
      </c>
      <c r="C162" s="676" t="s">
        <v>61</v>
      </c>
      <c r="D162" s="677" t="s">
        <v>44</v>
      </c>
      <c r="E162" s="677" t="s">
        <v>36</v>
      </c>
      <c r="F162" s="678" t="s">
        <v>606</v>
      </c>
      <c r="G162" s="15"/>
      <c r="H162" s="217">
        <f>H163</f>
        <v>6081.9</v>
      </c>
    </row>
    <row r="163" spans="1:8" s="339" customFormat="1" ht="36" x14ac:dyDescent="0.35">
      <c r="A163" s="329"/>
      <c r="B163" s="504" t="s">
        <v>74</v>
      </c>
      <c r="C163" s="676" t="s">
        <v>61</v>
      </c>
      <c r="D163" s="677" t="s">
        <v>44</v>
      </c>
      <c r="E163" s="677" t="s">
        <v>36</v>
      </c>
      <c r="F163" s="678" t="s">
        <v>606</v>
      </c>
      <c r="G163" s="15" t="s">
        <v>75</v>
      </c>
      <c r="H163" s="217">
        <f>'прил8 (ведом 24)'!M581</f>
        <v>6081.9</v>
      </c>
    </row>
    <row r="164" spans="1:8" ht="18" x14ac:dyDescent="0.35">
      <c r="A164" s="400"/>
      <c r="B164" s="496" t="s">
        <v>273</v>
      </c>
      <c r="C164" s="208" t="s">
        <v>61</v>
      </c>
      <c r="D164" s="209" t="s">
        <v>44</v>
      </c>
      <c r="E164" s="209" t="s">
        <v>38</v>
      </c>
      <c r="F164" s="210" t="s">
        <v>43</v>
      </c>
      <c r="G164" s="33"/>
      <c r="H164" s="401">
        <f>H165</f>
        <v>450</v>
      </c>
    </row>
    <row r="165" spans="1:8" s="339" customFormat="1" ht="36" x14ac:dyDescent="0.35">
      <c r="A165" s="329"/>
      <c r="B165" s="496" t="s">
        <v>208</v>
      </c>
      <c r="C165" s="208" t="s">
        <v>61</v>
      </c>
      <c r="D165" s="209" t="s">
        <v>44</v>
      </c>
      <c r="E165" s="209" t="s">
        <v>38</v>
      </c>
      <c r="F165" s="210" t="s">
        <v>275</v>
      </c>
      <c r="G165" s="33"/>
      <c r="H165" s="217">
        <f>H166</f>
        <v>450</v>
      </c>
    </row>
    <row r="166" spans="1:8" s="339" customFormat="1" ht="18" x14ac:dyDescent="0.35">
      <c r="A166" s="329"/>
      <c r="B166" s="496" t="s">
        <v>118</v>
      </c>
      <c r="C166" s="208" t="s">
        <v>61</v>
      </c>
      <c r="D166" s="209" t="s">
        <v>44</v>
      </c>
      <c r="E166" s="209" t="s">
        <v>38</v>
      </c>
      <c r="F166" s="210" t="s">
        <v>275</v>
      </c>
      <c r="G166" s="33" t="s">
        <v>119</v>
      </c>
      <c r="H166" s="217">
        <f>'прил8 (ведом 24)'!M587</f>
        <v>450</v>
      </c>
    </row>
    <row r="167" spans="1:8" s="339" customFormat="1" ht="18" x14ac:dyDescent="0.35">
      <c r="A167" s="329"/>
      <c r="B167" s="493" t="s">
        <v>313</v>
      </c>
      <c r="C167" s="347" t="s">
        <v>61</v>
      </c>
      <c r="D167" s="348" t="s">
        <v>44</v>
      </c>
      <c r="E167" s="348" t="s">
        <v>61</v>
      </c>
      <c r="F167" s="349" t="s">
        <v>43</v>
      </c>
      <c r="G167" s="350"/>
      <c r="H167" s="217">
        <f>H168+H170+H172+H174+H176</f>
        <v>18848.300000000003</v>
      </c>
    </row>
    <row r="168" spans="1:8" s="339" customFormat="1" ht="36" x14ac:dyDescent="0.35">
      <c r="A168" s="329"/>
      <c r="B168" s="493" t="s">
        <v>454</v>
      </c>
      <c r="C168" s="347" t="s">
        <v>61</v>
      </c>
      <c r="D168" s="348" t="s">
        <v>44</v>
      </c>
      <c r="E168" s="348" t="s">
        <v>61</v>
      </c>
      <c r="F168" s="349" t="s">
        <v>89</v>
      </c>
      <c r="G168" s="350"/>
      <c r="H168" s="217">
        <f>H169</f>
        <v>15939.5</v>
      </c>
    </row>
    <row r="169" spans="1:8" s="339" customFormat="1" ht="36" x14ac:dyDescent="0.35">
      <c r="A169" s="329"/>
      <c r="B169" s="496" t="s">
        <v>74</v>
      </c>
      <c r="C169" s="208" t="s">
        <v>61</v>
      </c>
      <c r="D169" s="209" t="s">
        <v>44</v>
      </c>
      <c r="E169" s="209" t="s">
        <v>61</v>
      </c>
      <c r="F169" s="210" t="s">
        <v>89</v>
      </c>
      <c r="G169" s="33" t="s">
        <v>75</v>
      </c>
      <c r="H169" s="217">
        <f>'прил8 (ведом 24)'!M597</f>
        <v>15939.5</v>
      </c>
    </row>
    <row r="170" spans="1:8" s="339" customFormat="1" ht="18" x14ac:dyDescent="0.35">
      <c r="A170" s="329"/>
      <c r="B170" s="503" t="s">
        <v>455</v>
      </c>
      <c r="C170" s="676" t="s">
        <v>61</v>
      </c>
      <c r="D170" s="677" t="s">
        <v>44</v>
      </c>
      <c r="E170" s="677" t="s">
        <v>61</v>
      </c>
      <c r="F170" s="678" t="s">
        <v>376</v>
      </c>
      <c r="G170" s="15"/>
      <c r="H170" s="217">
        <f>H171</f>
        <v>1169.9000000000001</v>
      </c>
    </row>
    <row r="171" spans="1:8" s="339" customFormat="1" ht="36" x14ac:dyDescent="0.35">
      <c r="A171" s="329"/>
      <c r="B171" s="504" t="s">
        <v>74</v>
      </c>
      <c r="C171" s="676" t="s">
        <v>61</v>
      </c>
      <c r="D171" s="677" t="s">
        <v>44</v>
      </c>
      <c r="E171" s="677" t="s">
        <v>61</v>
      </c>
      <c r="F171" s="678" t="s">
        <v>376</v>
      </c>
      <c r="G171" s="15" t="s">
        <v>75</v>
      </c>
      <c r="H171" s="217">
        <f>'прил8 (ведом 24)'!M599</f>
        <v>1169.9000000000001</v>
      </c>
    </row>
    <row r="172" spans="1:8" s="339" customFormat="1" ht="36" x14ac:dyDescent="0.35">
      <c r="A172" s="329"/>
      <c r="B172" s="496" t="s">
        <v>311</v>
      </c>
      <c r="C172" s="347" t="s">
        <v>61</v>
      </c>
      <c r="D172" s="348" t="s">
        <v>44</v>
      </c>
      <c r="E172" s="348" t="s">
        <v>61</v>
      </c>
      <c r="F172" s="349" t="s">
        <v>312</v>
      </c>
      <c r="G172" s="350"/>
      <c r="H172" s="217">
        <f>H173</f>
        <v>722.9</v>
      </c>
    </row>
    <row r="173" spans="1:8" s="339" customFormat="1" ht="36" x14ac:dyDescent="0.35">
      <c r="A173" s="329"/>
      <c r="B173" s="496" t="s">
        <v>74</v>
      </c>
      <c r="C173" s="347" t="s">
        <v>61</v>
      </c>
      <c r="D173" s="348" t="s">
        <v>44</v>
      </c>
      <c r="E173" s="348" t="s">
        <v>61</v>
      </c>
      <c r="F173" s="349" t="s">
        <v>312</v>
      </c>
      <c r="G173" s="350" t="s">
        <v>75</v>
      </c>
      <c r="H173" s="217">
        <f>'прил8 (ведом 24)'!M601</f>
        <v>722.9</v>
      </c>
    </row>
    <row r="174" spans="1:8" s="339" customFormat="1" ht="36" x14ac:dyDescent="0.35">
      <c r="A174" s="329"/>
      <c r="B174" s="496" t="s">
        <v>609</v>
      </c>
      <c r="C174" s="208" t="s">
        <v>61</v>
      </c>
      <c r="D174" s="209" t="s">
        <v>44</v>
      </c>
      <c r="E174" s="209" t="s">
        <v>61</v>
      </c>
      <c r="F174" s="210" t="s">
        <v>314</v>
      </c>
      <c r="G174" s="33"/>
      <c r="H174" s="217">
        <f>H175</f>
        <v>577</v>
      </c>
    </row>
    <row r="175" spans="1:8" s="339" customFormat="1" ht="36" x14ac:dyDescent="0.35">
      <c r="A175" s="329"/>
      <c r="B175" s="496" t="s">
        <v>74</v>
      </c>
      <c r="C175" s="208" t="s">
        <v>61</v>
      </c>
      <c r="D175" s="209" t="s">
        <v>44</v>
      </c>
      <c r="E175" s="209" t="s">
        <v>61</v>
      </c>
      <c r="F175" s="210" t="s">
        <v>314</v>
      </c>
      <c r="G175" s="33" t="s">
        <v>75</v>
      </c>
      <c r="H175" s="217">
        <f>'прил8 (ведом 24)'!M603</f>
        <v>577</v>
      </c>
    </row>
    <row r="176" spans="1:8" s="339" customFormat="1" ht="18" x14ac:dyDescent="0.35">
      <c r="A176" s="329"/>
      <c r="B176" s="502" t="s">
        <v>520</v>
      </c>
      <c r="C176" s="208" t="s">
        <v>61</v>
      </c>
      <c r="D176" s="209" t="s">
        <v>44</v>
      </c>
      <c r="E176" s="209" t="s">
        <v>61</v>
      </c>
      <c r="F176" s="210" t="s">
        <v>519</v>
      </c>
      <c r="G176" s="33"/>
      <c r="H176" s="217">
        <f>H177</f>
        <v>439</v>
      </c>
    </row>
    <row r="177" spans="1:8" s="339" customFormat="1" ht="36" x14ac:dyDescent="0.35">
      <c r="A177" s="329"/>
      <c r="B177" s="502" t="s">
        <v>74</v>
      </c>
      <c r="C177" s="208" t="s">
        <v>61</v>
      </c>
      <c r="D177" s="209" t="s">
        <v>44</v>
      </c>
      <c r="E177" s="209" t="s">
        <v>61</v>
      </c>
      <c r="F177" s="210" t="s">
        <v>519</v>
      </c>
      <c r="G177" s="33" t="s">
        <v>75</v>
      </c>
      <c r="H177" s="217">
        <f>'прил8 (ведом 24)'!M605</f>
        <v>439</v>
      </c>
    </row>
    <row r="178" spans="1:8" s="339" customFormat="1" ht="36" x14ac:dyDescent="0.35">
      <c r="A178" s="329"/>
      <c r="B178" s="496" t="s">
        <v>315</v>
      </c>
      <c r="C178" s="347" t="s">
        <v>61</v>
      </c>
      <c r="D178" s="348" t="s">
        <v>44</v>
      </c>
      <c r="E178" s="348" t="s">
        <v>50</v>
      </c>
      <c r="F178" s="210" t="s">
        <v>43</v>
      </c>
      <c r="G178" s="33"/>
      <c r="H178" s="217">
        <f>H179+H183</f>
        <v>16955.3</v>
      </c>
    </row>
    <row r="179" spans="1:8" s="339" customFormat="1" ht="36" x14ac:dyDescent="0.35">
      <c r="A179" s="329"/>
      <c r="B179" s="493" t="s">
        <v>454</v>
      </c>
      <c r="C179" s="347" t="s">
        <v>61</v>
      </c>
      <c r="D179" s="348" t="s">
        <v>44</v>
      </c>
      <c r="E179" s="348" t="s">
        <v>50</v>
      </c>
      <c r="F179" s="349" t="s">
        <v>89</v>
      </c>
      <c r="G179" s="350"/>
      <c r="H179" s="217">
        <f>SUM(H180:H182)</f>
        <v>16900</v>
      </c>
    </row>
    <row r="180" spans="1:8" s="339" customFormat="1" ht="90" x14ac:dyDescent="0.35">
      <c r="A180" s="329"/>
      <c r="B180" s="494" t="s">
        <v>48</v>
      </c>
      <c r="C180" s="208" t="s">
        <v>61</v>
      </c>
      <c r="D180" s="209" t="s">
        <v>44</v>
      </c>
      <c r="E180" s="209" t="s">
        <v>50</v>
      </c>
      <c r="F180" s="210" t="s">
        <v>89</v>
      </c>
      <c r="G180" s="33" t="s">
        <v>49</v>
      </c>
      <c r="H180" s="217">
        <f>'прил8 (ведом 24)'!M608</f>
        <v>15331</v>
      </c>
    </row>
    <row r="181" spans="1:8" s="339" customFormat="1" ht="36" x14ac:dyDescent="0.35">
      <c r="A181" s="329"/>
      <c r="B181" s="494" t="s">
        <v>53</v>
      </c>
      <c r="C181" s="208" t="s">
        <v>61</v>
      </c>
      <c r="D181" s="209" t="s">
        <v>44</v>
      </c>
      <c r="E181" s="209" t="s">
        <v>50</v>
      </c>
      <c r="F181" s="210" t="s">
        <v>89</v>
      </c>
      <c r="G181" s="33" t="s">
        <v>54</v>
      </c>
      <c r="H181" s="217">
        <f>'прил8 (ведом 24)'!M609</f>
        <v>1519</v>
      </c>
    </row>
    <row r="182" spans="1:8" s="339" customFormat="1" ht="18" x14ac:dyDescent="0.35">
      <c r="A182" s="329"/>
      <c r="B182" s="494" t="s">
        <v>55</v>
      </c>
      <c r="C182" s="208" t="s">
        <v>61</v>
      </c>
      <c r="D182" s="209" t="s">
        <v>44</v>
      </c>
      <c r="E182" s="209" t="s">
        <v>50</v>
      </c>
      <c r="F182" s="210" t="s">
        <v>89</v>
      </c>
      <c r="G182" s="33" t="s">
        <v>56</v>
      </c>
      <c r="H182" s="217">
        <f>'прил8 (ведом 24)'!M610</f>
        <v>50</v>
      </c>
    </row>
    <row r="183" spans="1:8" s="339" customFormat="1" ht="18" x14ac:dyDescent="0.35">
      <c r="A183" s="329"/>
      <c r="B183" s="503" t="s">
        <v>455</v>
      </c>
      <c r="C183" s="676" t="s">
        <v>61</v>
      </c>
      <c r="D183" s="677" t="s">
        <v>44</v>
      </c>
      <c r="E183" s="677" t="s">
        <v>50</v>
      </c>
      <c r="F183" s="678" t="s">
        <v>376</v>
      </c>
      <c r="G183" s="15"/>
      <c r="H183" s="217">
        <f>H184</f>
        <v>55.300000000000011</v>
      </c>
    </row>
    <row r="184" spans="1:8" s="339" customFormat="1" ht="36" x14ac:dyDescent="0.35">
      <c r="A184" s="329"/>
      <c r="B184" s="497" t="s">
        <v>53</v>
      </c>
      <c r="C184" s="676" t="s">
        <v>61</v>
      </c>
      <c r="D184" s="677" t="s">
        <v>44</v>
      </c>
      <c r="E184" s="677" t="s">
        <v>50</v>
      </c>
      <c r="F184" s="678" t="s">
        <v>376</v>
      </c>
      <c r="G184" s="15" t="s">
        <v>54</v>
      </c>
      <c r="H184" s="217">
        <f>'прил8 (ведом 24)'!M612</f>
        <v>55.300000000000011</v>
      </c>
    </row>
    <row r="185" spans="1:8" s="339" customFormat="1" ht="36" x14ac:dyDescent="0.35">
      <c r="A185" s="329"/>
      <c r="B185" s="502" t="s">
        <v>277</v>
      </c>
      <c r="C185" s="208" t="s">
        <v>61</v>
      </c>
      <c r="D185" s="209" t="s">
        <v>44</v>
      </c>
      <c r="E185" s="209" t="s">
        <v>63</v>
      </c>
      <c r="F185" s="210" t="s">
        <v>43</v>
      </c>
      <c r="G185" s="33"/>
      <c r="H185" s="217">
        <f>H186</f>
        <v>312.60000000000002</v>
      </c>
    </row>
    <row r="186" spans="1:8" s="339" customFormat="1" ht="36" x14ac:dyDescent="0.35">
      <c r="A186" s="329"/>
      <c r="B186" s="502" t="s">
        <v>460</v>
      </c>
      <c r="C186" s="208" t="s">
        <v>61</v>
      </c>
      <c r="D186" s="209" t="s">
        <v>44</v>
      </c>
      <c r="E186" s="209" t="s">
        <v>63</v>
      </c>
      <c r="F186" s="210" t="s">
        <v>459</v>
      </c>
      <c r="G186" s="33"/>
      <c r="H186" s="217">
        <f>H187</f>
        <v>312.60000000000002</v>
      </c>
    </row>
    <row r="187" spans="1:8" s="339" customFormat="1" ht="36" x14ac:dyDescent="0.35">
      <c r="A187" s="329"/>
      <c r="B187" s="502" t="s">
        <v>74</v>
      </c>
      <c r="C187" s="208" t="s">
        <v>61</v>
      </c>
      <c r="D187" s="209" t="s">
        <v>44</v>
      </c>
      <c r="E187" s="209" t="s">
        <v>63</v>
      </c>
      <c r="F187" s="210" t="s">
        <v>459</v>
      </c>
      <c r="G187" s="33" t="s">
        <v>75</v>
      </c>
      <c r="H187" s="217">
        <f>'прил8 (ведом 24)'!M590</f>
        <v>312.60000000000002</v>
      </c>
    </row>
    <row r="188" spans="1:8" ht="36" x14ac:dyDescent="0.35">
      <c r="A188" s="329"/>
      <c r="B188" s="493" t="s">
        <v>322</v>
      </c>
      <c r="C188" s="347" t="s">
        <v>61</v>
      </c>
      <c r="D188" s="348" t="s">
        <v>87</v>
      </c>
      <c r="E188" s="348" t="s">
        <v>42</v>
      </c>
      <c r="F188" s="210" t="s">
        <v>43</v>
      </c>
      <c r="G188" s="350"/>
      <c r="H188" s="217">
        <f>H189</f>
        <v>4156.7999999999993</v>
      </c>
    </row>
    <row r="189" spans="1:8" ht="90" x14ac:dyDescent="0.35">
      <c r="A189" s="329"/>
      <c r="B189" s="496" t="s">
        <v>316</v>
      </c>
      <c r="C189" s="347" t="s">
        <v>61</v>
      </c>
      <c r="D189" s="348" t="s">
        <v>87</v>
      </c>
      <c r="E189" s="348" t="s">
        <v>61</v>
      </c>
      <c r="F189" s="210" t="s">
        <v>43</v>
      </c>
      <c r="G189" s="350"/>
      <c r="H189" s="217">
        <f>H190+H193</f>
        <v>4156.7999999999993</v>
      </c>
    </row>
    <row r="190" spans="1:8" ht="36" x14ac:dyDescent="0.35">
      <c r="A190" s="329"/>
      <c r="B190" s="496" t="s">
        <v>311</v>
      </c>
      <c r="C190" s="347" t="s">
        <v>61</v>
      </c>
      <c r="D190" s="348" t="s">
        <v>87</v>
      </c>
      <c r="E190" s="348" t="s">
        <v>61</v>
      </c>
      <c r="F190" s="349" t="s">
        <v>312</v>
      </c>
      <c r="G190" s="238"/>
      <c r="H190" s="217">
        <f>SUM(H191:H192)</f>
        <v>4112.3999999999996</v>
      </c>
    </row>
    <row r="191" spans="1:8" ht="36" x14ac:dyDescent="0.35">
      <c r="A191" s="329"/>
      <c r="B191" s="493" t="s">
        <v>53</v>
      </c>
      <c r="C191" s="208" t="s">
        <v>61</v>
      </c>
      <c r="D191" s="209" t="s">
        <v>87</v>
      </c>
      <c r="E191" s="209" t="s">
        <v>61</v>
      </c>
      <c r="F191" s="210" t="s">
        <v>312</v>
      </c>
      <c r="G191" s="238" t="s">
        <v>54</v>
      </c>
      <c r="H191" s="217">
        <f>'прил8 (ведом 24)'!M625+'прил8 (ведом 24)'!M616</f>
        <v>4096.8999999999996</v>
      </c>
    </row>
    <row r="192" spans="1:8" ht="36" x14ac:dyDescent="0.35">
      <c r="A192" s="329"/>
      <c r="B192" s="496" t="s">
        <v>74</v>
      </c>
      <c r="C192" s="208" t="s">
        <v>61</v>
      </c>
      <c r="D192" s="209" t="s">
        <v>87</v>
      </c>
      <c r="E192" s="209" t="s">
        <v>61</v>
      </c>
      <c r="F192" s="210" t="s">
        <v>312</v>
      </c>
      <c r="G192" s="33" t="s">
        <v>75</v>
      </c>
      <c r="H192" s="217">
        <f>'прил8 (ведом 24)'!M617</f>
        <v>15.5</v>
      </c>
    </row>
    <row r="193" spans="1:8" ht="252" x14ac:dyDescent="0.35">
      <c r="A193" s="329"/>
      <c r="B193" s="502" t="s">
        <v>590</v>
      </c>
      <c r="C193" s="208" t="s">
        <v>61</v>
      </c>
      <c r="D193" s="209" t="s">
        <v>87</v>
      </c>
      <c r="E193" s="209" t="s">
        <v>61</v>
      </c>
      <c r="F193" s="210" t="s">
        <v>407</v>
      </c>
      <c r="G193" s="33"/>
      <c r="H193" s="217">
        <f>H194</f>
        <v>44.4</v>
      </c>
    </row>
    <row r="194" spans="1:8" ht="36" x14ac:dyDescent="0.35">
      <c r="A194" s="329"/>
      <c r="B194" s="502" t="s">
        <v>74</v>
      </c>
      <c r="C194" s="208" t="s">
        <v>61</v>
      </c>
      <c r="D194" s="209" t="s">
        <v>87</v>
      </c>
      <c r="E194" s="209" t="s">
        <v>61</v>
      </c>
      <c r="F194" s="210" t="s">
        <v>407</v>
      </c>
      <c r="G194" s="33" t="s">
        <v>75</v>
      </c>
      <c r="H194" s="217">
        <f>'прил8 (ведом 24)'!M619</f>
        <v>44.4</v>
      </c>
    </row>
    <row r="195" spans="1:8" s="339" customFormat="1" ht="36" x14ac:dyDescent="0.35">
      <c r="A195" s="329"/>
      <c r="B195" s="493" t="s">
        <v>212</v>
      </c>
      <c r="C195" s="208" t="s">
        <v>61</v>
      </c>
      <c r="D195" s="209" t="s">
        <v>29</v>
      </c>
      <c r="E195" s="209" t="s">
        <v>42</v>
      </c>
      <c r="F195" s="210" t="s">
        <v>43</v>
      </c>
      <c r="G195" s="238"/>
      <c r="H195" s="217">
        <f>H196+H207</f>
        <v>13665.899999999998</v>
      </c>
    </row>
    <row r="196" spans="1:8" s="339" customFormat="1" ht="36" x14ac:dyDescent="0.35">
      <c r="A196" s="329"/>
      <c r="B196" s="493" t="s">
        <v>278</v>
      </c>
      <c r="C196" s="208" t="s">
        <v>61</v>
      </c>
      <c r="D196" s="209" t="s">
        <v>29</v>
      </c>
      <c r="E196" s="209" t="s">
        <v>36</v>
      </c>
      <c r="F196" s="210" t="s">
        <v>43</v>
      </c>
      <c r="G196" s="33"/>
      <c r="H196" s="217">
        <f>H197+H201+H205</f>
        <v>13609.599999999999</v>
      </c>
    </row>
    <row r="197" spans="1:8" ht="36" x14ac:dyDescent="0.35">
      <c r="A197" s="329"/>
      <c r="B197" s="493" t="s">
        <v>46</v>
      </c>
      <c r="C197" s="208" t="s">
        <v>61</v>
      </c>
      <c r="D197" s="209" t="s">
        <v>29</v>
      </c>
      <c r="E197" s="209" t="s">
        <v>36</v>
      </c>
      <c r="F197" s="210" t="s">
        <v>47</v>
      </c>
      <c r="G197" s="350"/>
      <c r="H197" s="217">
        <f>SUM(H198:H200)</f>
        <v>3570.7</v>
      </c>
    </row>
    <row r="198" spans="1:8" ht="90" x14ac:dyDescent="0.35">
      <c r="A198" s="329"/>
      <c r="B198" s="493" t="s">
        <v>48</v>
      </c>
      <c r="C198" s="208" t="s">
        <v>61</v>
      </c>
      <c r="D198" s="209" t="s">
        <v>29</v>
      </c>
      <c r="E198" s="209" t="s">
        <v>36</v>
      </c>
      <c r="F198" s="210" t="s">
        <v>47</v>
      </c>
      <c r="G198" s="350" t="s">
        <v>49</v>
      </c>
      <c r="H198" s="217">
        <f>'прил8 (ведом 24)'!M629</f>
        <v>3301</v>
      </c>
    </row>
    <row r="199" spans="1:8" ht="36" x14ac:dyDescent="0.35">
      <c r="A199" s="329"/>
      <c r="B199" s="493" t="s">
        <v>53</v>
      </c>
      <c r="C199" s="208" t="s">
        <v>61</v>
      </c>
      <c r="D199" s="209" t="s">
        <v>29</v>
      </c>
      <c r="E199" s="209" t="s">
        <v>36</v>
      </c>
      <c r="F199" s="210" t="s">
        <v>47</v>
      </c>
      <c r="G199" s="350" t="s">
        <v>54</v>
      </c>
      <c r="H199" s="217">
        <f>'прил8 (ведом 24)'!M630</f>
        <v>261.2</v>
      </c>
    </row>
    <row r="200" spans="1:8" ht="18" x14ac:dyDescent="0.35">
      <c r="A200" s="329"/>
      <c r="B200" s="493" t="s">
        <v>55</v>
      </c>
      <c r="C200" s="208" t="s">
        <v>61</v>
      </c>
      <c r="D200" s="209" t="s">
        <v>29</v>
      </c>
      <c r="E200" s="209" t="s">
        <v>36</v>
      </c>
      <c r="F200" s="210" t="s">
        <v>47</v>
      </c>
      <c r="G200" s="33" t="s">
        <v>56</v>
      </c>
      <c r="H200" s="217">
        <f>'прил8 (ведом 24)'!M631</f>
        <v>8.5</v>
      </c>
    </row>
    <row r="201" spans="1:8" ht="36" x14ac:dyDescent="0.35">
      <c r="A201" s="329"/>
      <c r="B201" s="493" t="s">
        <v>454</v>
      </c>
      <c r="C201" s="208" t="s">
        <v>61</v>
      </c>
      <c r="D201" s="209" t="s">
        <v>29</v>
      </c>
      <c r="E201" s="209" t="s">
        <v>36</v>
      </c>
      <c r="F201" s="210" t="s">
        <v>89</v>
      </c>
      <c r="G201" s="33"/>
      <c r="H201" s="217">
        <f>SUM(H202:H204)</f>
        <v>10019.199999999999</v>
      </c>
    </row>
    <row r="202" spans="1:8" ht="90" x14ac:dyDescent="0.35">
      <c r="A202" s="329"/>
      <c r="B202" s="493" t="s">
        <v>48</v>
      </c>
      <c r="C202" s="208" t="s">
        <v>61</v>
      </c>
      <c r="D202" s="209" t="s">
        <v>29</v>
      </c>
      <c r="E202" s="209" t="s">
        <v>36</v>
      </c>
      <c r="F202" s="210" t="s">
        <v>89</v>
      </c>
      <c r="G202" s="350" t="s">
        <v>49</v>
      </c>
      <c r="H202" s="217">
        <f>'прил8 (ведом 24)'!M633</f>
        <v>8090.5999999999995</v>
      </c>
    </row>
    <row r="203" spans="1:8" ht="36" x14ac:dyDescent="0.35">
      <c r="A203" s="329"/>
      <c r="B203" s="493" t="s">
        <v>53</v>
      </c>
      <c r="C203" s="208" t="s">
        <v>61</v>
      </c>
      <c r="D203" s="209" t="s">
        <v>29</v>
      </c>
      <c r="E203" s="209" t="s">
        <v>36</v>
      </c>
      <c r="F203" s="210" t="s">
        <v>89</v>
      </c>
      <c r="G203" s="350" t="s">
        <v>54</v>
      </c>
      <c r="H203" s="217">
        <f>'прил8 (ведом 24)'!M634</f>
        <v>1927</v>
      </c>
    </row>
    <row r="204" spans="1:8" ht="18" x14ac:dyDescent="0.35">
      <c r="A204" s="329"/>
      <c r="B204" s="493" t="s">
        <v>55</v>
      </c>
      <c r="C204" s="208" t="s">
        <v>61</v>
      </c>
      <c r="D204" s="209" t="s">
        <v>29</v>
      </c>
      <c r="E204" s="209" t="s">
        <v>36</v>
      </c>
      <c r="F204" s="210" t="s">
        <v>89</v>
      </c>
      <c r="G204" s="33" t="s">
        <v>56</v>
      </c>
      <c r="H204" s="217">
        <f>'прил8 (ведом 24)'!M635</f>
        <v>1.6</v>
      </c>
    </row>
    <row r="205" spans="1:8" ht="54" x14ac:dyDescent="0.35">
      <c r="A205" s="329"/>
      <c r="B205" s="497" t="s">
        <v>375</v>
      </c>
      <c r="C205" s="208" t="s">
        <v>61</v>
      </c>
      <c r="D205" s="209" t="s">
        <v>29</v>
      </c>
      <c r="E205" s="209" t="s">
        <v>36</v>
      </c>
      <c r="F205" s="210" t="s">
        <v>374</v>
      </c>
      <c r="G205" s="33"/>
      <c r="H205" s="217">
        <f>H206</f>
        <v>19.7</v>
      </c>
    </row>
    <row r="206" spans="1:8" ht="36" x14ac:dyDescent="0.35">
      <c r="A206" s="329"/>
      <c r="B206" s="497" t="s">
        <v>53</v>
      </c>
      <c r="C206" s="208" t="s">
        <v>61</v>
      </c>
      <c r="D206" s="209" t="s">
        <v>29</v>
      </c>
      <c r="E206" s="209" t="s">
        <v>36</v>
      </c>
      <c r="F206" s="210" t="s">
        <v>374</v>
      </c>
      <c r="G206" s="33" t="s">
        <v>54</v>
      </c>
      <c r="H206" s="217">
        <f>'прил8 (ведом 24)'!M563</f>
        <v>19.7</v>
      </c>
    </row>
    <row r="207" spans="1:8" ht="36" x14ac:dyDescent="0.35">
      <c r="A207" s="329"/>
      <c r="B207" s="494" t="s">
        <v>347</v>
      </c>
      <c r="C207" s="208" t="s">
        <v>61</v>
      </c>
      <c r="D207" s="209" t="s">
        <v>29</v>
      </c>
      <c r="E207" s="209" t="s">
        <v>38</v>
      </c>
      <c r="F207" s="210" t="s">
        <v>43</v>
      </c>
      <c r="G207" s="153"/>
      <c r="H207" s="217">
        <f>H208</f>
        <v>56.3</v>
      </c>
    </row>
    <row r="208" spans="1:8" ht="54" x14ac:dyDescent="0.35">
      <c r="A208" s="329"/>
      <c r="B208" s="494" t="s">
        <v>348</v>
      </c>
      <c r="C208" s="208" t="s">
        <v>61</v>
      </c>
      <c r="D208" s="209" t="s">
        <v>29</v>
      </c>
      <c r="E208" s="209" t="s">
        <v>38</v>
      </c>
      <c r="F208" s="210" t="s">
        <v>103</v>
      </c>
      <c r="G208" s="153"/>
      <c r="H208" s="217">
        <f>H209</f>
        <v>56.3</v>
      </c>
    </row>
    <row r="209" spans="1:8" ht="36" x14ac:dyDescent="0.35">
      <c r="A209" s="329"/>
      <c r="B209" s="494" t="s">
        <v>53</v>
      </c>
      <c r="C209" s="208" t="s">
        <v>61</v>
      </c>
      <c r="D209" s="209" t="s">
        <v>29</v>
      </c>
      <c r="E209" s="209" t="s">
        <v>38</v>
      </c>
      <c r="F209" s="210" t="s">
        <v>103</v>
      </c>
      <c r="G209" s="33" t="s">
        <v>54</v>
      </c>
      <c r="H209" s="217">
        <f>'прил8 (ведом 24)'!M566</f>
        <v>56.3</v>
      </c>
    </row>
    <row r="210" spans="1:8" ht="18" x14ac:dyDescent="0.35">
      <c r="A210" s="329"/>
      <c r="B210" s="500"/>
      <c r="C210" s="351"/>
      <c r="D210" s="351"/>
      <c r="E210" s="297"/>
      <c r="F210" s="352"/>
      <c r="G210" s="238"/>
      <c r="H210" s="217"/>
    </row>
    <row r="211" spans="1:8" s="339" customFormat="1" ht="52.2" x14ac:dyDescent="0.3">
      <c r="A211" s="344">
        <v>3</v>
      </c>
      <c r="B211" s="505" t="s">
        <v>213</v>
      </c>
      <c r="C211" s="345" t="s">
        <v>50</v>
      </c>
      <c r="D211" s="345" t="s">
        <v>41</v>
      </c>
      <c r="E211" s="345" t="s">
        <v>42</v>
      </c>
      <c r="F211" s="346" t="s">
        <v>43</v>
      </c>
      <c r="G211" s="338"/>
      <c r="H211" s="251">
        <f>H212+H219+H248</f>
        <v>118570</v>
      </c>
    </row>
    <row r="212" spans="1:8" ht="18" x14ac:dyDescent="0.35">
      <c r="A212" s="329"/>
      <c r="B212" s="501" t="s">
        <v>214</v>
      </c>
      <c r="C212" s="208" t="s">
        <v>50</v>
      </c>
      <c r="D212" s="209" t="s">
        <v>44</v>
      </c>
      <c r="E212" s="209" t="s">
        <v>42</v>
      </c>
      <c r="F212" s="210" t="s">
        <v>43</v>
      </c>
      <c r="G212" s="238"/>
      <c r="H212" s="217">
        <f>H213+H216</f>
        <v>1306.5999999999999</v>
      </c>
    </row>
    <row r="213" spans="1:8" ht="18" x14ac:dyDescent="0.35">
      <c r="A213" s="329"/>
      <c r="B213" s="493" t="s">
        <v>273</v>
      </c>
      <c r="C213" s="208" t="s">
        <v>50</v>
      </c>
      <c r="D213" s="209" t="s">
        <v>44</v>
      </c>
      <c r="E213" s="209" t="s">
        <v>36</v>
      </c>
      <c r="F213" s="210" t="s">
        <v>43</v>
      </c>
      <c r="G213" s="238"/>
      <c r="H213" s="217">
        <f>H214</f>
        <v>396</v>
      </c>
    </row>
    <row r="214" spans="1:8" ht="36" x14ac:dyDescent="0.35">
      <c r="A214" s="329"/>
      <c r="B214" s="493" t="s">
        <v>274</v>
      </c>
      <c r="C214" s="208" t="s">
        <v>50</v>
      </c>
      <c r="D214" s="209" t="s">
        <v>44</v>
      </c>
      <c r="E214" s="209" t="s">
        <v>36</v>
      </c>
      <c r="F214" s="210" t="s">
        <v>275</v>
      </c>
      <c r="G214" s="33"/>
      <c r="H214" s="217">
        <f>H215</f>
        <v>396</v>
      </c>
    </row>
    <row r="215" spans="1:8" ht="18" x14ac:dyDescent="0.35">
      <c r="A215" s="329"/>
      <c r="B215" s="493" t="s">
        <v>118</v>
      </c>
      <c r="C215" s="208" t="s">
        <v>50</v>
      </c>
      <c r="D215" s="209" t="s">
        <v>44</v>
      </c>
      <c r="E215" s="209" t="s">
        <v>36</v>
      </c>
      <c r="F215" s="210" t="s">
        <v>275</v>
      </c>
      <c r="G215" s="33" t="s">
        <v>119</v>
      </c>
      <c r="H215" s="217">
        <f>'прил8 (ведом 24)'!M673</f>
        <v>396</v>
      </c>
    </row>
    <row r="216" spans="1:8" ht="54" x14ac:dyDescent="0.35">
      <c r="A216" s="329"/>
      <c r="B216" s="493" t="s">
        <v>287</v>
      </c>
      <c r="C216" s="208" t="s">
        <v>50</v>
      </c>
      <c r="D216" s="209" t="s">
        <v>44</v>
      </c>
      <c r="E216" s="209" t="s">
        <v>38</v>
      </c>
      <c r="F216" s="210" t="s">
        <v>43</v>
      </c>
      <c r="G216" s="33"/>
      <c r="H216" s="217">
        <f>H217</f>
        <v>910.6</v>
      </c>
    </row>
    <row r="217" spans="1:8" ht="36" x14ac:dyDescent="0.35">
      <c r="A217" s="329"/>
      <c r="B217" s="493" t="s">
        <v>215</v>
      </c>
      <c r="C217" s="208" t="s">
        <v>50</v>
      </c>
      <c r="D217" s="209" t="s">
        <v>44</v>
      </c>
      <c r="E217" s="209" t="s">
        <v>38</v>
      </c>
      <c r="F217" s="210" t="s">
        <v>288</v>
      </c>
      <c r="G217" s="33"/>
      <c r="H217" s="217">
        <f>SUM(H218:H218)</f>
        <v>910.6</v>
      </c>
    </row>
    <row r="218" spans="1:8" ht="36" x14ac:dyDescent="0.35">
      <c r="A218" s="329"/>
      <c r="B218" s="493" t="s">
        <v>53</v>
      </c>
      <c r="C218" s="208" t="s">
        <v>50</v>
      </c>
      <c r="D218" s="209" t="s">
        <v>44</v>
      </c>
      <c r="E218" s="209" t="s">
        <v>38</v>
      </c>
      <c r="F218" s="210" t="s">
        <v>288</v>
      </c>
      <c r="G218" s="33" t="s">
        <v>54</v>
      </c>
      <c r="H218" s="217">
        <f>'прил8 (ведом 24)'!M661</f>
        <v>910.6</v>
      </c>
    </row>
    <row r="219" spans="1:8" ht="18" x14ac:dyDescent="0.35">
      <c r="A219" s="329"/>
      <c r="B219" s="493" t="s">
        <v>216</v>
      </c>
      <c r="C219" s="208" t="s">
        <v>50</v>
      </c>
      <c r="D219" s="209" t="s">
        <v>87</v>
      </c>
      <c r="E219" s="209" t="s">
        <v>42</v>
      </c>
      <c r="F219" s="210" t="s">
        <v>43</v>
      </c>
      <c r="G219" s="238"/>
      <c r="H219" s="217">
        <f>H220+H225+H238+H241</f>
        <v>89818.2</v>
      </c>
    </row>
    <row r="220" spans="1:8" ht="36" x14ac:dyDescent="0.35">
      <c r="A220" s="329"/>
      <c r="B220" s="493" t="s">
        <v>278</v>
      </c>
      <c r="C220" s="208" t="s">
        <v>50</v>
      </c>
      <c r="D220" s="209" t="s">
        <v>87</v>
      </c>
      <c r="E220" s="209" t="s">
        <v>36</v>
      </c>
      <c r="F220" s="210" t="s">
        <v>43</v>
      </c>
      <c r="G220" s="33"/>
      <c r="H220" s="217">
        <f>H221</f>
        <v>3088.7000000000003</v>
      </c>
    </row>
    <row r="221" spans="1:8" ht="36" x14ac:dyDescent="0.35">
      <c r="A221" s="329"/>
      <c r="B221" s="493" t="s">
        <v>46</v>
      </c>
      <c r="C221" s="208" t="s">
        <v>50</v>
      </c>
      <c r="D221" s="209" t="s">
        <v>87</v>
      </c>
      <c r="E221" s="209" t="s">
        <v>36</v>
      </c>
      <c r="F221" s="210" t="s">
        <v>47</v>
      </c>
      <c r="G221" s="33"/>
      <c r="H221" s="217">
        <f>SUM(H222:H224)</f>
        <v>3088.7000000000003</v>
      </c>
    </row>
    <row r="222" spans="1:8" ht="90" x14ac:dyDescent="0.35">
      <c r="A222" s="329"/>
      <c r="B222" s="493" t="s">
        <v>48</v>
      </c>
      <c r="C222" s="208" t="s">
        <v>50</v>
      </c>
      <c r="D222" s="209" t="s">
        <v>87</v>
      </c>
      <c r="E222" s="209" t="s">
        <v>36</v>
      </c>
      <c r="F222" s="210" t="s">
        <v>47</v>
      </c>
      <c r="G222" s="33" t="s">
        <v>49</v>
      </c>
      <c r="H222" s="217">
        <f>'прил8 (ведом 24)'!M691</f>
        <v>3027.5</v>
      </c>
    </row>
    <row r="223" spans="1:8" ht="36" x14ac:dyDescent="0.35">
      <c r="A223" s="329"/>
      <c r="B223" s="493" t="s">
        <v>53</v>
      </c>
      <c r="C223" s="208" t="s">
        <v>50</v>
      </c>
      <c r="D223" s="209" t="s">
        <v>87</v>
      </c>
      <c r="E223" s="209" t="s">
        <v>36</v>
      </c>
      <c r="F223" s="210" t="s">
        <v>47</v>
      </c>
      <c r="G223" s="33" t="s">
        <v>54</v>
      </c>
      <c r="H223" s="217">
        <f>'прил8 (ведом 24)'!M692</f>
        <v>59.4</v>
      </c>
    </row>
    <row r="224" spans="1:8" ht="18" x14ac:dyDescent="0.35">
      <c r="A224" s="329"/>
      <c r="B224" s="493" t="s">
        <v>55</v>
      </c>
      <c r="C224" s="208" t="s">
        <v>50</v>
      </c>
      <c r="D224" s="209" t="s">
        <v>87</v>
      </c>
      <c r="E224" s="209" t="s">
        <v>36</v>
      </c>
      <c r="F224" s="210" t="s">
        <v>47</v>
      </c>
      <c r="G224" s="33" t="s">
        <v>56</v>
      </c>
      <c r="H224" s="217">
        <f>'прил8 (ведом 24)'!M693</f>
        <v>1.8</v>
      </c>
    </row>
    <row r="225" spans="1:8" ht="18" x14ac:dyDescent="0.35">
      <c r="A225" s="329"/>
      <c r="B225" s="493" t="s">
        <v>357</v>
      </c>
      <c r="C225" s="208" t="s">
        <v>50</v>
      </c>
      <c r="D225" s="209" t="s">
        <v>87</v>
      </c>
      <c r="E225" s="209" t="s">
        <v>38</v>
      </c>
      <c r="F225" s="210" t="s">
        <v>43</v>
      </c>
      <c r="G225" s="33"/>
      <c r="H225" s="217">
        <f>H226+H236+H230+H232+H234</f>
        <v>81922.600000000006</v>
      </c>
    </row>
    <row r="226" spans="1:8" ht="36" x14ac:dyDescent="0.35">
      <c r="A226" s="329"/>
      <c r="B226" s="493" t="s">
        <v>454</v>
      </c>
      <c r="C226" s="208" t="s">
        <v>50</v>
      </c>
      <c r="D226" s="209" t="s">
        <v>87</v>
      </c>
      <c r="E226" s="209" t="s">
        <v>38</v>
      </c>
      <c r="F226" s="210" t="s">
        <v>89</v>
      </c>
      <c r="G226" s="33"/>
      <c r="H226" s="217">
        <f>SUM(H227:H229)</f>
        <v>41892.299999999996</v>
      </c>
    </row>
    <row r="227" spans="1:8" ht="90" x14ac:dyDescent="0.35">
      <c r="A227" s="329"/>
      <c r="B227" s="493" t="s">
        <v>48</v>
      </c>
      <c r="C227" s="208" t="s">
        <v>50</v>
      </c>
      <c r="D227" s="209" t="s">
        <v>87</v>
      </c>
      <c r="E227" s="209" t="s">
        <v>38</v>
      </c>
      <c r="F227" s="210" t="s">
        <v>89</v>
      </c>
      <c r="G227" s="33" t="s">
        <v>49</v>
      </c>
      <c r="H227" s="217">
        <f>'прил8 (ведом 24)'!M677</f>
        <v>27201.899999999998</v>
      </c>
    </row>
    <row r="228" spans="1:8" ht="36" x14ac:dyDescent="0.35">
      <c r="A228" s="329"/>
      <c r="B228" s="493" t="s">
        <v>53</v>
      </c>
      <c r="C228" s="208" t="s">
        <v>50</v>
      </c>
      <c r="D228" s="209" t="s">
        <v>87</v>
      </c>
      <c r="E228" s="209" t="s">
        <v>38</v>
      </c>
      <c r="F228" s="210" t="s">
        <v>89</v>
      </c>
      <c r="G228" s="33" t="s">
        <v>54</v>
      </c>
      <c r="H228" s="217">
        <f>'прил8 (ведом 24)'!M678</f>
        <v>12934.3</v>
      </c>
    </row>
    <row r="229" spans="1:8" ht="18" x14ac:dyDescent="0.35">
      <c r="A229" s="329"/>
      <c r="B229" s="493" t="s">
        <v>55</v>
      </c>
      <c r="C229" s="208" t="s">
        <v>50</v>
      </c>
      <c r="D229" s="209" t="s">
        <v>87</v>
      </c>
      <c r="E229" s="209" t="s">
        <v>38</v>
      </c>
      <c r="F229" s="210" t="s">
        <v>89</v>
      </c>
      <c r="G229" s="33" t="s">
        <v>56</v>
      </c>
      <c r="H229" s="217">
        <f>'прил8 (ведом 24)'!M679</f>
        <v>1756.1</v>
      </c>
    </row>
    <row r="230" spans="1:8" ht="50.25" customHeight="1" x14ac:dyDescent="0.35">
      <c r="A230" s="329"/>
      <c r="B230" s="494" t="s">
        <v>215</v>
      </c>
      <c r="C230" s="208" t="s">
        <v>50</v>
      </c>
      <c r="D230" s="209" t="s">
        <v>87</v>
      </c>
      <c r="E230" s="209" t="s">
        <v>38</v>
      </c>
      <c r="F230" s="210" t="s">
        <v>288</v>
      </c>
      <c r="G230" s="33"/>
      <c r="H230" s="217">
        <f>H231</f>
        <v>7579.6</v>
      </c>
    </row>
    <row r="231" spans="1:8" ht="36" x14ac:dyDescent="0.35">
      <c r="A231" s="329"/>
      <c r="B231" s="494" t="s">
        <v>53</v>
      </c>
      <c r="C231" s="208" t="s">
        <v>50</v>
      </c>
      <c r="D231" s="209" t="s">
        <v>87</v>
      </c>
      <c r="E231" s="209" t="s">
        <v>38</v>
      </c>
      <c r="F231" s="210" t="s">
        <v>288</v>
      </c>
      <c r="G231" s="33" t="s">
        <v>54</v>
      </c>
      <c r="H231" s="217">
        <f>'прил8 (ведом 24)'!M681+'прил8 (ведом 24)'!M665</f>
        <v>7579.6</v>
      </c>
    </row>
    <row r="232" spans="1:8" ht="180" x14ac:dyDescent="0.35">
      <c r="A232" s="329"/>
      <c r="B232" s="494" t="s">
        <v>427</v>
      </c>
      <c r="C232" s="208" t="s">
        <v>50</v>
      </c>
      <c r="D232" s="209" t="s">
        <v>87</v>
      </c>
      <c r="E232" s="209" t="s">
        <v>38</v>
      </c>
      <c r="F232" s="210" t="s">
        <v>385</v>
      </c>
      <c r="G232" s="33"/>
      <c r="H232" s="217">
        <f>H233</f>
        <v>93.8</v>
      </c>
    </row>
    <row r="233" spans="1:8" ht="90" x14ac:dyDescent="0.35">
      <c r="A233" s="329"/>
      <c r="B233" s="494" t="s">
        <v>48</v>
      </c>
      <c r="C233" s="208" t="s">
        <v>50</v>
      </c>
      <c r="D233" s="209" t="s">
        <v>87</v>
      </c>
      <c r="E233" s="209" t="s">
        <v>38</v>
      </c>
      <c r="F233" s="210" t="s">
        <v>385</v>
      </c>
      <c r="G233" s="33" t="s">
        <v>49</v>
      </c>
      <c r="H233" s="217">
        <f>'прил8 (ведом 24)'!M683</f>
        <v>93.8</v>
      </c>
    </row>
    <row r="234" spans="1:8" ht="72" x14ac:dyDescent="0.35">
      <c r="A234" s="329"/>
      <c r="B234" s="497" t="s">
        <v>565</v>
      </c>
      <c r="C234" s="676" t="s">
        <v>50</v>
      </c>
      <c r="D234" s="677" t="s">
        <v>87</v>
      </c>
      <c r="E234" s="677" t="s">
        <v>38</v>
      </c>
      <c r="F234" s="678" t="s">
        <v>564</v>
      </c>
      <c r="G234" s="15"/>
      <c r="H234" s="217">
        <f>H235</f>
        <v>29851.5</v>
      </c>
    </row>
    <row r="235" spans="1:8" ht="36" x14ac:dyDescent="0.35">
      <c r="A235" s="329"/>
      <c r="B235" s="497" t="s">
        <v>53</v>
      </c>
      <c r="C235" s="676" t="s">
        <v>50</v>
      </c>
      <c r="D235" s="677" t="s">
        <v>87</v>
      </c>
      <c r="E235" s="677" t="s">
        <v>38</v>
      </c>
      <c r="F235" s="678" t="s">
        <v>564</v>
      </c>
      <c r="G235" s="15" t="s">
        <v>54</v>
      </c>
      <c r="H235" s="217">
        <f>'прил8 (ведом 24)'!M667</f>
        <v>29851.5</v>
      </c>
    </row>
    <row r="236" spans="1:8" ht="54" x14ac:dyDescent="0.35">
      <c r="A236" s="329"/>
      <c r="B236" s="494" t="s">
        <v>429</v>
      </c>
      <c r="C236" s="208" t="s">
        <v>50</v>
      </c>
      <c r="D236" s="209" t="s">
        <v>87</v>
      </c>
      <c r="E236" s="209" t="s">
        <v>38</v>
      </c>
      <c r="F236" s="210" t="s">
        <v>405</v>
      </c>
      <c r="G236" s="33"/>
      <c r="H236" s="217">
        <f>H237</f>
        <v>2505.4</v>
      </c>
    </row>
    <row r="237" spans="1:8" ht="90" x14ac:dyDescent="0.35">
      <c r="A237" s="329"/>
      <c r="B237" s="494" t="s">
        <v>48</v>
      </c>
      <c r="C237" s="208" t="s">
        <v>50</v>
      </c>
      <c r="D237" s="209" t="s">
        <v>87</v>
      </c>
      <c r="E237" s="209" t="s">
        <v>38</v>
      </c>
      <c r="F237" s="210" t="s">
        <v>405</v>
      </c>
      <c r="G237" s="33" t="s">
        <v>49</v>
      </c>
      <c r="H237" s="217">
        <f>'прил8 (ведом 24)'!M685</f>
        <v>2505.4</v>
      </c>
    </row>
    <row r="238" spans="1:8" ht="36" x14ac:dyDescent="0.35">
      <c r="A238" s="329"/>
      <c r="B238" s="494" t="s">
        <v>347</v>
      </c>
      <c r="C238" s="208" t="s">
        <v>50</v>
      </c>
      <c r="D238" s="209" t="s">
        <v>87</v>
      </c>
      <c r="E238" s="209" t="s">
        <v>61</v>
      </c>
      <c r="F238" s="210" t="s">
        <v>43</v>
      </c>
      <c r="G238" s="33"/>
      <c r="H238" s="217">
        <f>H239</f>
        <v>51.9</v>
      </c>
    </row>
    <row r="239" spans="1:8" ht="54" x14ac:dyDescent="0.35">
      <c r="A239" s="329"/>
      <c r="B239" s="506" t="s">
        <v>348</v>
      </c>
      <c r="C239" s="208" t="s">
        <v>50</v>
      </c>
      <c r="D239" s="209" t="s">
        <v>87</v>
      </c>
      <c r="E239" s="209" t="s">
        <v>61</v>
      </c>
      <c r="F239" s="210" t="s">
        <v>103</v>
      </c>
      <c r="G239" s="33"/>
      <c r="H239" s="217">
        <f>H240</f>
        <v>51.9</v>
      </c>
    </row>
    <row r="240" spans="1:8" ht="36" x14ac:dyDescent="0.35">
      <c r="A240" s="329"/>
      <c r="B240" s="494" t="s">
        <v>53</v>
      </c>
      <c r="C240" s="208" t="s">
        <v>50</v>
      </c>
      <c r="D240" s="209" t="s">
        <v>87</v>
      </c>
      <c r="E240" s="209" t="s">
        <v>61</v>
      </c>
      <c r="F240" s="210" t="s">
        <v>103</v>
      </c>
      <c r="G240" s="33" t="s">
        <v>54</v>
      </c>
      <c r="H240" s="217">
        <f>'прил8 (ведом 24)'!M644</f>
        <v>51.9</v>
      </c>
    </row>
    <row r="241" spans="1:8" ht="18" x14ac:dyDescent="0.35">
      <c r="A241" s="329"/>
      <c r="B241" s="494" t="s">
        <v>518</v>
      </c>
      <c r="C241" s="208" t="s">
        <v>50</v>
      </c>
      <c r="D241" s="209" t="s">
        <v>87</v>
      </c>
      <c r="E241" s="209" t="s">
        <v>50</v>
      </c>
      <c r="F241" s="210" t="s">
        <v>43</v>
      </c>
      <c r="G241" s="33"/>
      <c r="H241" s="217">
        <f>H242+H246</f>
        <v>4755</v>
      </c>
    </row>
    <row r="242" spans="1:8" ht="36" x14ac:dyDescent="0.35">
      <c r="A242" s="329"/>
      <c r="B242" s="494" t="s">
        <v>454</v>
      </c>
      <c r="C242" s="208" t="s">
        <v>50</v>
      </c>
      <c r="D242" s="209" t="s">
        <v>87</v>
      </c>
      <c r="E242" s="209" t="s">
        <v>50</v>
      </c>
      <c r="F242" s="210" t="s">
        <v>89</v>
      </c>
      <c r="G242" s="33"/>
      <c r="H242" s="217">
        <f>H243+H244+H245</f>
        <v>3753.6000000000004</v>
      </c>
    </row>
    <row r="243" spans="1:8" ht="90" x14ac:dyDescent="0.35">
      <c r="A243" s="329"/>
      <c r="B243" s="494" t="s">
        <v>48</v>
      </c>
      <c r="C243" s="208" t="s">
        <v>50</v>
      </c>
      <c r="D243" s="209" t="s">
        <v>87</v>
      </c>
      <c r="E243" s="209" t="s">
        <v>50</v>
      </c>
      <c r="F243" s="210" t="s">
        <v>89</v>
      </c>
      <c r="G243" s="33" t="s">
        <v>49</v>
      </c>
      <c r="H243" s="217">
        <f>'прил8 (ведом 24)'!M651</f>
        <v>2270.4</v>
      </c>
    </row>
    <row r="244" spans="1:8" ht="36" x14ac:dyDescent="0.35">
      <c r="A244" s="329"/>
      <c r="B244" s="494" t="s">
        <v>53</v>
      </c>
      <c r="C244" s="208" t="s">
        <v>50</v>
      </c>
      <c r="D244" s="209" t="s">
        <v>87</v>
      </c>
      <c r="E244" s="209" t="s">
        <v>50</v>
      </c>
      <c r="F244" s="210" t="s">
        <v>89</v>
      </c>
      <c r="G244" s="33" t="s">
        <v>54</v>
      </c>
      <c r="H244" s="217">
        <f>'прил8 (ведом 24)'!M652</f>
        <v>1463.4</v>
      </c>
    </row>
    <row r="245" spans="1:8" ht="18" x14ac:dyDescent="0.35">
      <c r="A245" s="329"/>
      <c r="B245" s="494" t="s">
        <v>55</v>
      </c>
      <c r="C245" s="208" t="s">
        <v>50</v>
      </c>
      <c r="D245" s="209" t="s">
        <v>87</v>
      </c>
      <c r="E245" s="209" t="s">
        <v>50</v>
      </c>
      <c r="F245" s="210" t="s">
        <v>89</v>
      </c>
      <c r="G245" s="33" t="s">
        <v>56</v>
      </c>
      <c r="H245" s="217">
        <f>'прил8 (ведом 24)'!M653</f>
        <v>19.8</v>
      </c>
    </row>
    <row r="246" spans="1:8" ht="36" x14ac:dyDescent="0.35">
      <c r="A246" s="329"/>
      <c r="B246" s="494" t="s">
        <v>215</v>
      </c>
      <c r="C246" s="208" t="s">
        <v>50</v>
      </c>
      <c r="D246" s="209" t="s">
        <v>87</v>
      </c>
      <c r="E246" s="209" t="s">
        <v>50</v>
      </c>
      <c r="F246" s="210" t="s">
        <v>288</v>
      </c>
      <c r="G246" s="33"/>
      <c r="H246" s="217">
        <f>H247</f>
        <v>1001.4</v>
      </c>
    </row>
    <row r="247" spans="1:8" ht="36" x14ac:dyDescent="0.35">
      <c r="A247" s="329"/>
      <c r="B247" s="494" t="s">
        <v>53</v>
      </c>
      <c r="C247" s="208" t="s">
        <v>50</v>
      </c>
      <c r="D247" s="209" t="s">
        <v>87</v>
      </c>
      <c r="E247" s="209" t="s">
        <v>50</v>
      </c>
      <c r="F247" s="210" t="s">
        <v>288</v>
      </c>
      <c r="G247" s="33" t="s">
        <v>54</v>
      </c>
      <c r="H247" s="217">
        <f>'прил8 (ведом 24)'!M655</f>
        <v>1001.4</v>
      </c>
    </row>
    <row r="248" spans="1:8" ht="18" x14ac:dyDescent="0.35">
      <c r="A248" s="329"/>
      <c r="B248" s="494" t="s">
        <v>335</v>
      </c>
      <c r="C248" s="208" t="s">
        <v>50</v>
      </c>
      <c r="D248" s="209" t="s">
        <v>30</v>
      </c>
      <c r="E248" s="209" t="s">
        <v>42</v>
      </c>
      <c r="F248" s="210" t="s">
        <v>43</v>
      </c>
      <c r="G248" s="33"/>
      <c r="H248" s="217">
        <f>H249</f>
        <v>27445.200000000001</v>
      </c>
    </row>
    <row r="249" spans="1:8" ht="54" x14ac:dyDescent="0.35">
      <c r="A249" s="329"/>
      <c r="B249" s="494" t="s">
        <v>406</v>
      </c>
      <c r="C249" s="208" t="s">
        <v>50</v>
      </c>
      <c r="D249" s="209" t="s">
        <v>30</v>
      </c>
      <c r="E249" s="209" t="s">
        <v>61</v>
      </c>
      <c r="F249" s="210" t="s">
        <v>43</v>
      </c>
      <c r="G249" s="33"/>
      <c r="H249" s="217">
        <f>H250</f>
        <v>27445.200000000001</v>
      </c>
    </row>
    <row r="250" spans="1:8" ht="126" x14ac:dyDescent="0.35">
      <c r="A250" s="329"/>
      <c r="B250" s="494" t="s">
        <v>691</v>
      </c>
      <c r="C250" s="357" t="s">
        <v>50</v>
      </c>
      <c r="D250" s="357" t="s">
        <v>30</v>
      </c>
      <c r="E250" s="357" t="s">
        <v>61</v>
      </c>
      <c r="F250" s="358" t="s">
        <v>476</v>
      </c>
      <c r="G250" s="33"/>
      <c r="H250" s="217">
        <f>H251</f>
        <v>27445.200000000001</v>
      </c>
    </row>
    <row r="251" spans="1:8" ht="36" x14ac:dyDescent="0.35">
      <c r="A251" s="329"/>
      <c r="B251" s="494" t="s">
        <v>200</v>
      </c>
      <c r="C251" s="357" t="s">
        <v>50</v>
      </c>
      <c r="D251" s="357" t="s">
        <v>30</v>
      </c>
      <c r="E251" s="357" t="s">
        <v>61</v>
      </c>
      <c r="F251" s="358" t="s">
        <v>476</v>
      </c>
      <c r="G251" s="33" t="s">
        <v>201</v>
      </c>
      <c r="H251" s="217">
        <f>'прил8 (ведом 24)'!M384</f>
        <v>27445.200000000001</v>
      </c>
    </row>
    <row r="252" spans="1:8" s="339" customFormat="1" ht="52.2" x14ac:dyDescent="0.3">
      <c r="A252" s="344">
        <v>4</v>
      </c>
      <c r="B252" s="492" t="s">
        <v>217</v>
      </c>
      <c r="C252" s="336" t="s">
        <v>63</v>
      </c>
      <c r="D252" s="336" t="s">
        <v>41</v>
      </c>
      <c r="E252" s="336" t="s">
        <v>42</v>
      </c>
      <c r="F252" s="337" t="s">
        <v>43</v>
      </c>
      <c r="G252" s="338"/>
      <c r="H252" s="251">
        <f>H253+H261</f>
        <v>10250.5</v>
      </c>
    </row>
    <row r="253" spans="1:8" s="339" customFormat="1" ht="18" x14ac:dyDescent="0.35">
      <c r="A253" s="329"/>
      <c r="B253" s="493" t="s">
        <v>218</v>
      </c>
      <c r="C253" s="208" t="s">
        <v>63</v>
      </c>
      <c r="D253" s="209" t="s">
        <v>44</v>
      </c>
      <c r="E253" s="209" t="s">
        <v>42</v>
      </c>
      <c r="F253" s="210" t="s">
        <v>43</v>
      </c>
      <c r="G253" s="238"/>
      <c r="H253" s="217">
        <f>H254</f>
        <v>6414.5999999999995</v>
      </c>
    </row>
    <row r="254" spans="1:8" s="339" customFormat="1" ht="72" x14ac:dyDescent="0.35">
      <c r="A254" s="329"/>
      <c r="B254" s="493" t="s">
        <v>283</v>
      </c>
      <c r="C254" s="208" t="s">
        <v>63</v>
      </c>
      <c r="D254" s="209" t="s">
        <v>44</v>
      </c>
      <c r="E254" s="209" t="s">
        <v>36</v>
      </c>
      <c r="F254" s="210" t="s">
        <v>43</v>
      </c>
      <c r="G254" s="33"/>
      <c r="H254" s="217">
        <f>H255+H259</f>
        <v>6414.5999999999995</v>
      </c>
    </row>
    <row r="255" spans="1:8" ht="36" x14ac:dyDescent="0.35">
      <c r="A255" s="329"/>
      <c r="B255" s="493" t="s">
        <v>454</v>
      </c>
      <c r="C255" s="208" t="s">
        <v>63</v>
      </c>
      <c r="D255" s="209" t="s">
        <v>44</v>
      </c>
      <c r="E255" s="209" t="s">
        <v>36</v>
      </c>
      <c r="F255" s="210" t="s">
        <v>89</v>
      </c>
      <c r="G255" s="33"/>
      <c r="H255" s="217">
        <f>H256+H257+H258</f>
        <v>4406.8999999999996</v>
      </c>
    </row>
    <row r="256" spans="1:8" ht="90" x14ac:dyDescent="0.35">
      <c r="A256" s="329"/>
      <c r="B256" s="493" t="s">
        <v>48</v>
      </c>
      <c r="C256" s="208" t="s">
        <v>63</v>
      </c>
      <c r="D256" s="209" t="s">
        <v>44</v>
      </c>
      <c r="E256" s="209" t="s">
        <v>36</v>
      </c>
      <c r="F256" s="210" t="s">
        <v>89</v>
      </c>
      <c r="G256" s="33" t="s">
        <v>49</v>
      </c>
      <c r="H256" s="217">
        <f>'прил8 (ведом 24)'!M718</f>
        <v>4032.7</v>
      </c>
    </row>
    <row r="257" spans="1:8" ht="36" x14ac:dyDescent="0.35">
      <c r="A257" s="329"/>
      <c r="B257" s="493" t="s">
        <v>53</v>
      </c>
      <c r="C257" s="208" t="s">
        <v>63</v>
      </c>
      <c r="D257" s="209" t="s">
        <v>44</v>
      </c>
      <c r="E257" s="209" t="s">
        <v>36</v>
      </c>
      <c r="F257" s="210" t="s">
        <v>89</v>
      </c>
      <c r="G257" s="33" t="s">
        <v>54</v>
      </c>
      <c r="H257" s="217">
        <f>'прил8 (ведом 24)'!M719</f>
        <v>371.5</v>
      </c>
    </row>
    <row r="258" spans="1:8" ht="18" x14ac:dyDescent="0.35">
      <c r="A258" s="329"/>
      <c r="B258" s="494" t="s">
        <v>55</v>
      </c>
      <c r="C258" s="208" t="s">
        <v>63</v>
      </c>
      <c r="D258" s="209" t="s">
        <v>44</v>
      </c>
      <c r="E258" s="209" t="s">
        <v>36</v>
      </c>
      <c r="F258" s="210" t="s">
        <v>89</v>
      </c>
      <c r="G258" s="33" t="s">
        <v>56</v>
      </c>
      <c r="H258" s="217">
        <f>'прил8 (ведом 24)'!M720</f>
        <v>2.7</v>
      </c>
    </row>
    <row r="259" spans="1:8" ht="36" x14ac:dyDescent="0.35">
      <c r="A259" s="329"/>
      <c r="B259" s="493" t="s">
        <v>284</v>
      </c>
      <c r="C259" s="208" t="s">
        <v>63</v>
      </c>
      <c r="D259" s="209" t="s">
        <v>44</v>
      </c>
      <c r="E259" s="209" t="s">
        <v>36</v>
      </c>
      <c r="F259" s="210" t="s">
        <v>285</v>
      </c>
      <c r="G259" s="33"/>
      <c r="H259" s="217">
        <f>H260</f>
        <v>2007.6999999999998</v>
      </c>
    </row>
    <row r="260" spans="1:8" ht="36" x14ac:dyDescent="0.35">
      <c r="A260" s="329"/>
      <c r="B260" s="493" t="s">
        <v>53</v>
      </c>
      <c r="C260" s="208" t="s">
        <v>63</v>
      </c>
      <c r="D260" s="209" t="s">
        <v>44</v>
      </c>
      <c r="E260" s="209" t="s">
        <v>36</v>
      </c>
      <c r="F260" s="210" t="s">
        <v>285</v>
      </c>
      <c r="G260" s="33" t="s">
        <v>54</v>
      </c>
      <c r="H260" s="217">
        <f>'прил8 (ведом 24)'!M722</f>
        <v>2007.6999999999998</v>
      </c>
    </row>
    <row r="261" spans="1:8" s="339" customFormat="1" ht="30.75" customHeight="1" x14ac:dyDescent="0.35">
      <c r="A261" s="329"/>
      <c r="B261" s="493" t="s">
        <v>216</v>
      </c>
      <c r="C261" s="208" t="s">
        <v>63</v>
      </c>
      <c r="D261" s="209" t="s">
        <v>87</v>
      </c>
      <c r="E261" s="209" t="s">
        <v>42</v>
      </c>
      <c r="F261" s="210" t="s">
        <v>43</v>
      </c>
      <c r="G261" s="33"/>
      <c r="H261" s="217">
        <f>H262+H269+H272+H275</f>
        <v>3835.9</v>
      </c>
    </row>
    <row r="262" spans="1:8" s="339" customFormat="1" ht="36" x14ac:dyDescent="0.35">
      <c r="A262" s="329"/>
      <c r="B262" s="493" t="s">
        <v>278</v>
      </c>
      <c r="C262" s="208" t="s">
        <v>63</v>
      </c>
      <c r="D262" s="209" t="s">
        <v>87</v>
      </c>
      <c r="E262" s="209" t="s">
        <v>36</v>
      </c>
      <c r="F262" s="210" t="s">
        <v>43</v>
      </c>
      <c r="G262" s="33"/>
      <c r="H262" s="217">
        <f>H263+H267</f>
        <v>3686.7</v>
      </c>
    </row>
    <row r="263" spans="1:8" s="339" customFormat="1" ht="36" x14ac:dyDescent="0.35">
      <c r="A263" s="329"/>
      <c r="B263" s="493" t="s">
        <v>46</v>
      </c>
      <c r="C263" s="208" t="s">
        <v>63</v>
      </c>
      <c r="D263" s="209" t="s">
        <v>87</v>
      </c>
      <c r="E263" s="209" t="s">
        <v>36</v>
      </c>
      <c r="F263" s="210" t="s">
        <v>47</v>
      </c>
      <c r="G263" s="33"/>
      <c r="H263" s="217">
        <f>SUM(H264:H266)</f>
        <v>3680.1</v>
      </c>
    </row>
    <row r="264" spans="1:8" s="339" customFormat="1" ht="90" x14ac:dyDescent="0.35">
      <c r="A264" s="329"/>
      <c r="B264" s="493" t="s">
        <v>48</v>
      </c>
      <c r="C264" s="208" t="s">
        <v>63</v>
      </c>
      <c r="D264" s="209" t="s">
        <v>87</v>
      </c>
      <c r="E264" s="209" t="s">
        <v>36</v>
      </c>
      <c r="F264" s="210" t="s">
        <v>47</v>
      </c>
      <c r="G264" s="33" t="s">
        <v>49</v>
      </c>
      <c r="H264" s="217">
        <f>'прил8 (ведом 24)'!M728</f>
        <v>3316</v>
      </c>
    </row>
    <row r="265" spans="1:8" ht="36" x14ac:dyDescent="0.35">
      <c r="A265" s="329"/>
      <c r="B265" s="493" t="s">
        <v>53</v>
      </c>
      <c r="C265" s="208" t="s">
        <v>63</v>
      </c>
      <c r="D265" s="209" t="s">
        <v>87</v>
      </c>
      <c r="E265" s="209" t="s">
        <v>36</v>
      </c>
      <c r="F265" s="210" t="s">
        <v>47</v>
      </c>
      <c r="G265" s="33" t="s">
        <v>54</v>
      </c>
      <c r="H265" s="217">
        <f>'прил8 (ведом 24)'!M729</f>
        <v>362.9</v>
      </c>
    </row>
    <row r="266" spans="1:8" ht="18" x14ac:dyDescent="0.35">
      <c r="A266" s="329"/>
      <c r="B266" s="493" t="s">
        <v>55</v>
      </c>
      <c r="C266" s="208" t="s">
        <v>63</v>
      </c>
      <c r="D266" s="209" t="s">
        <v>87</v>
      </c>
      <c r="E266" s="209" t="s">
        <v>36</v>
      </c>
      <c r="F266" s="210" t="s">
        <v>47</v>
      </c>
      <c r="G266" s="33" t="s">
        <v>56</v>
      </c>
      <c r="H266" s="217">
        <f>'прил8 (ведом 24)'!M730</f>
        <v>1.2</v>
      </c>
    </row>
    <row r="267" spans="1:8" ht="54" x14ac:dyDescent="0.35">
      <c r="A267" s="329"/>
      <c r="B267" s="568" t="s">
        <v>375</v>
      </c>
      <c r="C267" s="676" t="s">
        <v>63</v>
      </c>
      <c r="D267" s="677" t="s">
        <v>87</v>
      </c>
      <c r="E267" s="677" t="s">
        <v>36</v>
      </c>
      <c r="F267" s="678" t="s">
        <v>374</v>
      </c>
      <c r="G267" s="33"/>
      <c r="H267" s="217">
        <f>H268</f>
        <v>6.6</v>
      </c>
    </row>
    <row r="268" spans="1:8" ht="36" x14ac:dyDescent="0.35">
      <c r="A268" s="329"/>
      <c r="B268" s="568" t="s">
        <v>53</v>
      </c>
      <c r="C268" s="676" t="s">
        <v>63</v>
      </c>
      <c r="D268" s="677" t="s">
        <v>87</v>
      </c>
      <c r="E268" s="677" t="s">
        <v>36</v>
      </c>
      <c r="F268" s="678" t="s">
        <v>374</v>
      </c>
      <c r="G268" s="33" t="s">
        <v>54</v>
      </c>
      <c r="H268" s="217">
        <f>'прил8 (ведом 24)'!M702</f>
        <v>6.6</v>
      </c>
    </row>
    <row r="269" spans="1:8" ht="36" x14ac:dyDescent="0.35">
      <c r="A269" s="329"/>
      <c r="B269" s="506" t="s">
        <v>347</v>
      </c>
      <c r="C269" s="209" t="s">
        <v>63</v>
      </c>
      <c r="D269" s="209" t="s">
        <v>87</v>
      </c>
      <c r="E269" s="209" t="s">
        <v>38</v>
      </c>
      <c r="F269" s="210" t="s">
        <v>43</v>
      </c>
      <c r="G269" s="33"/>
      <c r="H269" s="217">
        <f>H270</f>
        <v>87.3</v>
      </c>
    </row>
    <row r="270" spans="1:8" ht="54" x14ac:dyDescent="0.35">
      <c r="A270" s="329"/>
      <c r="B270" s="506" t="s">
        <v>348</v>
      </c>
      <c r="C270" s="208" t="s">
        <v>63</v>
      </c>
      <c r="D270" s="209" t="s">
        <v>87</v>
      </c>
      <c r="E270" s="209" t="s">
        <v>38</v>
      </c>
      <c r="F270" s="210" t="s">
        <v>103</v>
      </c>
      <c r="G270" s="33"/>
      <c r="H270" s="217">
        <f>H271</f>
        <v>87.3</v>
      </c>
    </row>
    <row r="271" spans="1:8" ht="36" x14ac:dyDescent="0.35">
      <c r="A271" s="329"/>
      <c r="B271" s="506" t="s">
        <v>53</v>
      </c>
      <c r="C271" s="208" t="s">
        <v>63</v>
      </c>
      <c r="D271" s="209" t="s">
        <v>87</v>
      </c>
      <c r="E271" s="209" t="s">
        <v>38</v>
      </c>
      <c r="F271" s="210" t="s">
        <v>103</v>
      </c>
      <c r="G271" s="33" t="s">
        <v>54</v>
      </c>
      <c r="H271" s="217">
        <f>'прил8 (ведом 24)'!M705</f>
        <v>87.3</v>
      </c>
    </row>
    <row r="272" spans="1:8" ht="36" x14ac:dyDescent="0.35">
      <c r="A272" s="329"/>
      <c r="B272" s="494" t="s">
        <v>458</v>
      </c>
      <c r="C272" s="209" t="s">
        <v>63</v>
      </c>
      <c r="D272" s="209" t="s">
        <v>87</v>
      </c>
      <c r="E272" s="209" t="s">
        <v>61</v>
      </c>
      <c r="F272" s="210" t="s">
        <v>43</v>
      </c>
      <c r="G272" s="33"/>
      <c r="H272" s="217">
        <f>H273</f>
        <v>15.4</v>
      </c>
    </row>
    <row r="273" spans="1:8" ht="18" x14ac:dyDescent="0.35">
      <c r="A273" s="329"/>
      <c r="B273" s="494" t="s">
        <v>456</v>
      </c>
      <c r="C273" s="209" t="s">
        <v>63</v>
      </c>
      <c r="D273" s="209" t="s">
        <v>87</v>
      </c>
      <c r="E273" s="209" t="s">
        <v>61</v>
      </c>
      <c r="F273" s="210" t="s">
        <v>457</v>
      </c>
      <c r="G273" s="33"/>
      <c r="H273" s="217">
        <f>H274</f>
        <v>15.4</v>
      </c>
    </row>
    <row r="274" spans="1:8" ht="36" x14ac:dyDescent="0.35">
      <c r="A274" s="329"/>
      <c r="B274" s="506" t="s">
        <v>53</v>
      </c>
      <c r="C274" s="209" t="s">
        <v>63</v>
      </c>
      <c r="D274" s="209" t="s">
        <v>87</v>
      </c>
      <c r="E274" s="209" t="s">
        <v>61</v>
      </c>
      <c r="F274" s="210" t="s">
        <v>457</v>
      </c>
      <c r="G274" s="33" t="s">
        <v>54</v>
      </c>
      <c r="H274" s="217">
        <f>'прил8 (ведом 24)'!M708</f>
        <v>15.4</v>
      </c>
    </row>
    <row r="275" spans="1:8" ht="36" x14ac:dyDescent="0.35">
      <c r="A275" s="329"/>
      <c r="B275" s="506" t="s">
        <v>461</v>
      </c>
      <c r="C275" s="209" t="s">
        <v>63</v>
      </c>
      <c r="D275" s="209" t="s">
        <v>87</v>
      </c>
      <c r="E275" s="209" t="s">
        <v>50</v>
      </c>
      <c r="F275" s="671" t="s">
        <v>43</v>
      </c>
      <c r="G275" s="238"/>
      <c r="H275" s="217">
        <f>H276</f>
        <v>46.5</v>
      </c>
    </row>
    <row r="276" spans="1:8" ht="36" x14ac:dyDescent="0.35">
      <c r="A276" s="329"/>
      <c r="B276" s="507" t="s">
        <v>125</v>
      </c>
      <c r="C276" s="209" t="s">
        <v>63</v>
      </c>
      <c r="D276" s="209" t="s">
        <v>87</v>
      </c>
      <c r="E276" s="209" t="s">
        <v>50</v>
      </c>
      <c r="F276" s="353" t="s">
        <v>88</v>
      </c>
      <c r="G276" s="238"/>
      <c r="H276" s="217">
        <f>H277</f>
        <v>46.5</v>
      </c>
    </row>
    <row r="277" spans="1:8" ht="36" x14ac:dyDescent="0.35">
      <c r="A277" s="329"/>
      <c r="B277" s="506" t="s">
        <v>53</v>
      </c>
      <c r="C277" s="209" t="s">
        <v>63</v>
      </c>
      <c r="D277" s="209" t="s">
        <v>87</v>
      </c>
      <c r="E277" s="209" t="s">
        <v>50</v>
      </c>
      <c r="F277" s="671" t="s">
        <v>88</v>
      </c>
      <c r="G277" s="238" t="s">
        <v>54</v>
      </c>
      <c r="H277" s="217">
        <f>'прил8 (ведом 24)'!M711</f>
        <v>46.5</v>
      </c>
    </row>
    <row r="278" spans="1:8" ht="18" x14ac:dyDescent="0.35">
      <c r="A278" s="329"/>
      <c r="B278" s="506"/>
      <c r="C278" s="208"/>
      <c r="D278" s="209"/>
      <c r="E278" s="209"/>
      <c r="F278" s="671"/>
      <c r="G278" s="238"/>
      <c r="H278" s="217"/>
    </row>
    <row r="279" spans="1:8" s="339" customFormat="1" ht="52.2" x14ac:dyDescent="0.3">
      <c r="A279" s="344">
        <v>5</v>
      </c>
      <c r="B279" s="492" t="s">
        <v>78</v>
      </c>
      <c r="C279" s="345" t="s">
        <v>79</v>
      </c>
      <c r="D279" s="345" t="s">
        <v>41</v>
      </c>
      <c r="E279" s="345" t="s">
        <v>42</v>
      </c>
      <c r="F279" s="346" t="s">
        <v>43</v>
      </c>
      <c r="G279" s="338"/>
      <c r="H279" s="251">
        <f>H290+H280+H299+H305</f>
        <v>25632.83913</v>
      </c>
    </row>
    <row r="280" spans="1:8" ht="54" x14ac:dyDescent="0.35">
      <c r="A280" s="329"/>
      <c r="B280" s="501" t="s">
        <v>80</v>
      </c>
      <c r="C280" s="208" t="s">
        <v>79</v>
      </c>
      <c r="D280" s="209" t="s">
        <v>44</v>
      </c>
      <c r="E280" s="209" t="s">
        <v>42</v>
      </c>
      <c r="F280" s="210" t="s">
        <v>43</v>
      </c>
      <c r="G280" s="238"/>
      <c r="H280" s="217">
        <f>H281</f>
        <v>11531.6</v>
      </c>
    </row>
    <row r="281" spans="1:8" ht="72" x14ac:dyDescent="0.35">
      <c r="A281" s="329"/>
      <c r="B281" s="493" t="s">
        <v>81</v>
      </c>
      <c r="C281" s="208" t="s">
        <v>79</v>
      </c>
      <c r="D281" s="209" t="s">
        <v>44</v>
      </c>
      <c r="E281" s="209" t="s">
        <v>36</v>
      </c>
      <c r="F281" s="210" t="s">
        <v>43</v>
      </c>
      <c r="G281" s="33"/>
      <c r="H281" s="217">
        <f>H282+H284+H286+H288</f>
        <v>11531.6</v>
      </c>
    </row>
    <row r="282" spans="1:8" ht="36" x14ac:dyDescent="0.35">
      <c r="A282" s="329"/>
      <c r="B282" s="501" t="s">
        <v>441</v>
      </c>
      <c r="C282" s="208" t="s">
        <v>79</v>
      </c>
      <c r="D282" s="209" t="s">
        <v>44</v>
      </c>
      <c r="E282" s="209" t="s">
        <v>36</v>
      </c>
      <c r="F282" s="210" t="s">
        <v>82</v>
      </c>
      <c r="G282" s="33"/>
      <c r="H282" s="217">
        <f>H283</f>
        <v>1926.4</v>
      </c>
    </row>
    <row r="283" spans="1:8" ht="36" x14ac:dyDescent="0.35">
      <c r="A283" s="329"/>
      <c r="B283" s="493" t="s">
        <v>53</v>
      </c>
      <c r="C283" s="208" t="s">
        <v>79</v>
      </c>
      <c r="D283" s="209" t="s">
        <v>44</v>
      </c>
      <c r="E283" s="209" t="s">
        <v>36</v>
      </c>
      <c r="F283" s="210" t="s">
        <v>82</v>
      </c>
      <c r="G283" s="33" t="s">
        <v>54</v>
      </c>
      <c r="H283" s="217">
        <f>'прил8 (ведом 24)'!M100</f>
        <v>1926.4</v>
      </c>
    </row>
    <row r="284" spans="1:8" ht="36" x14ac:dyDescent="0.35">
      <c r="A284" s="329"/>
      <c r="B284" s="493" t="s">
        <v>83</v>
      </c>
      <c r="C284" s="208" t="s">
        <v>79</v>
      </c>
      <c r="D284" s="209" t="s">
        <v>44</v>
      </c>
      <c r="E284" s="209" t="s">
        <v>36</v>
      </c>
      <c r="F284" s="210" t="s">
        <v>84</v>
      </c>
      <c r="G284" s="33"/>
      <c r="H284" s="217">
        <f>H285</f>
        <v>67.2</v>
      </c>
    </row>
    <row r="285" spans="1:8" ht="36" x14ac:dyDescent="0.35">
      <c r="A285" s="329"/>
      <c r="B285" s="493" t="s">
        <v>53</v>
      </c>
      <c r="C285" s="208" t="s">
        <v>79</v>
      </c>
      <c r="D285" s="209" t="s">
        <v>44</v>
      </c>
      <c r="E285" s="209" t="s">
        <v>36</v>
      </c>
      <c r="F285" s="210" t="s">
        <v>84</v>
      </c>
      <c r="G285" s="33" t="s">
        <v>54</v>
      </c>
      <c r="H285" s="217">
        <f>'прил8 (ведом 24)'!M102</f>
        <v>67.2</v>
      </c>
    </row>
    <row r="286" spans="1:8" ht="126" x14ac:dyDescent="0.35">
      <c r="A286" s="329"/>
      <c r="B286" s="497" t="s">
        <v>555</v>
      </c>
      <c r="C286" s="208" t="s">
        <v>79</v>
      </c>
      <c r="D286" s="209" t="s">
        <v>44</v>
      </c>
      <c r="E286" s="209" t="s">
        <v>36</v>
      </c>
      <c r="F286" s="210" t="s">
        <v>325</v>
      </c>
      <c r="G286" s="33"/>
      <c r="H286" s="217">
        <f>H287</f>
        <v>9483.9</v>
      </c>
    </row>
    <row r="287" spans="1:8" ht="18" x14ac:dyDescent="0.35">
      <c r="A287" s="329"/>
      <c r="B287" s="493" t="s">
        <v>121</v>
      </c>
      <c r="C287" s="208" t="s">
        <v>79</v>
      </c>
      <c r="D287" s="209" t="s">
        <v>44</v>
      </c>
      <c r="E287" s="209" t="s">
        <v>36</v>
      </c>
      <c r="F287" s="210" t="s">
        <v>325</v>
      </c>
      <c r="G287" s="33" t="s">
        <v>122</v>
      </c>
      <c r="H287" s="217">
        <f>'прил8 (ведом 24)'!M104</f>
        <v>9483.9</v>
      </c>
    </row>
    <row r="288" spans="1:8" ht="72" x14ac:dyDescent="0.35">
      <c r="A288" s="329"/>
      <c r="B288" s="493" t="s">
        <v>554</v>
      </c>
      <c r="C288" s="208" t="s">
        <v>79</v>
      </c>
      <c r="D288" s="209" t="s">
        <v>44</v>
      </c>
      <c r="E288" s="209" t="s">
        <v>36</v>
      </c>
      <c r="F288" s="210" t="s">
        <v>326</v>
      </c>
      <c r="G288" s="33"/>
      <c r="H288" s="217">
        <f>H289</f>
        <v>54.1</v>
      </c>
    </row>
    <row r="289" spans="1:8" ht="18" x14ac:dyDescent="0.35">
      <c r="A289" s="329"/>
      <c r="B289" s="493" t="s">
        <v>121</v>
      </c>
      <c r="C289" s="208" t="s">
        <v>79</v>
      </c>
      <c r="D289" s="209" t="s">
        <v>44</v>
      </c>
      <c r="E289" s="209" t="s">
        <v>36</v>
      </c>
      <c r="F289" s="210" t="s">
        <v>326</v>
      </c>
      <c r="G289" s="33" t="s">
        <v>122</v>
      </c>
      <c r="H289" s="217">
        <f>'прил8 (ведом 24)'!M106</f>
        <v>54.1</v>
      </c>
    </row>
    <row r="290" spans="1:8" ht="36" x14ac:dyDescent="0.35">
      <c r="A290" s="329"/>
      <c r="B290" s="508" t="s">
        <v>123</v>
      </c>
      <c r="C290" s="208" t="s">
        <v>79</v>
      </c>
      <c r="D290" s="209" t="s">
        <v>87</v>
      </c>
      <c r="E290" s="209" t="s">
        <v>42</v>
      </c>
      <c r="F290" s="210" t="s">
        <v>43</v>
      </c>
      <c r="G290" s="238"/>
      <c r="H290" s="217">
        <f>H291+H296</f>
        <v>1827.1991199999998</v>
      </c>
    </row>
    <row r="291" spans="1:8" ht="36" x14ac:dyDescent="0.35">
      <c r="A291" s="329"/>
      <c r="B291" s="493" t="s">
        <v>267</v>
      </c>
      <c r="C291" s="208" t="s">
        <v>79</v>
      </c>
      <c r="D291" s="209" t="s">
        <v>87</v>
      </c>
      <c r="E291" s="209" t="s">
        <v>36</v>
      </c>
      <c r="F291" s="210" t="s">
        <v>43</v>
      </c>
      <c r="G291" s="33"/>
      <c r="H291" s="217">
        <f>H292+H294</f>
        <v>342.6</v>
      </c>
    </row>
    <row r="292" spans="1:8" ht="36" x14ac:dyDescent="0.35">
      <c r="A292" s="329"/>
      <c r="B292" s="493" t="s">
        <v>125</v>
      </c>
      <c r="C292" s="208" t="s">
        <v>79</v>
      </c>
      <c r="D292" s="209" t="s">
        <v>87</v>
      </c>
      <c r="E292" s="209" t="s">
        <v>36</v>
      </c>
      <c r="F292" s="210" t="s">
        <v>88</v>
      </c>
      <c r="G292" s="33"/>
      <c r="H292" s="217">
        <f>SUM(H293:H293)</f>
        <v>218.7</v>
      </c>
    </row>
    <row r="293" spans="1:8" ht="36" x14ac:dyDescent="0.35">
      <c r="A293" s="329"/>
      <c r="B293" s="493" t="s">
        <v>53</v>
      </c>
      <c r="C293" s="208" t="s">
        <v>79</v>
      </c>
      <c r="D293" s="209" t="s">
        <v>87</v>
      </c>
      <c r="E293" s="209" t="s">
        <v>36</v>
      </c>
      <c r="F293" s="210" t="s">
        <v>88</v>
      </c>
      <c r="G293" s="33" t="s">
        <v>54</v>
      </c>
      <c r="H293" s="217">
        <f>'прил8 (ведом 24)'!M112</f>
        <v>218.7</v>
      </c>
    </row>
    <row r="294" spans="1:8" ht="72" x14ac:dyDescent="0.35">
      <c r="A294" s="329"/>
      <c r="B294" s="493" t="s">
        <v>554</v>
      </c>
      <c r="C294" s="208" t="s">
        <v>79</v>
      </c>
      <c r="D294" s="209" t="s">
        <v>87</v>
      </c>
      <c r="E294" s="209" t="s">
        <v>36</v>
      </c>
      <c r="F294" s="210" t="s">
        <v>326</v>
      </c>
      <c r="G294" s="33"/>
      <c r="H294" s="217">
        <f>H295</f>
        <v>123.9</v>
      </c>
    </row>
    <row r="295" spans="1:8" ht="18" x14ac:dyDescent="0.35">
      <c r="A295" s="329"/>
      <c r="B295" s="508" t="s">
        <v>121</v>
      </c>
      <c r="C295" s="208" t="s">
        <v>79</v>
      </c>
      <c r="D295" s="209" t="s">
        <v>87</v>
      </c>
      <c r="E295" s="209" t="s">
        <v>36</v>
      </c>
      <c r="F295" s="210" t="s">
        <v>326</v>
      </c>
      <c r="G295" s="33" t="s">
        <v>122</v>
      </c>
      <c r="H295" s="217">
        <f>'прил8 (ведом 24)'!M114</f>
        <v>123.9</v>
      </c>
    </row>
    <row r="296" spans="1:8" ht="54" x14ac:dyDescent="0.35">
      <c r="A296" s="329"/>
      <c r="B296" s="509" t="s">
        <v>124</v>
      </c>
      <c r="C296" s="208" t="s">
        <v>79</v>
      </c>
      <c r="D296" s="209" t="s">
        <v>87</v>
      </c>
      <c r="E296" s="209" t="s">
        <v>38</v>
      </c>
      <c r="F296" s="210" t="s">
        <v>43</v>
      </c>
      <c r="G296" s="33"/>
      <c r="H296" s="217">
        <f>H297</f>
        <v>1484.5991199999999</v>
      </c>
    </row>
    <row r="297" spans="1:8" ht="36" x14ac:dyDescent="0.35">
      <c r="A297" s="329"/>
      <c r="B297" s="509" t="s">
        <v>125</v>
      </c>
      <c r="C297" s="208" t="s">
        <v>79</v>
      </c>
      <c r="D297" s="209" t="s">
        <v>87</v>
      </c>
      <c r="E297" s="209" t="s">
        <v>38</v>
      </c>
      <c r="F297" s="210" t="s">
        <v>88</v>
      </c>
      <c r="G297" s="33"/>
      <c r="H297" s="217">
        <f>H298</f>
        <v>1484.5991199999999</v>
      </c>
    </row>
    <row r="298" spans="1:8" ht="36" x14ac:dyDescent="0.35">
      <c r="A298" s="329"/>
      <c r="B298" s="493" t="s">
        <v>53</v>
      </c>
      <c r="C298" s="208" t="s">
        <v>79</v>
      </c>
      <c r="D298" s="209" t="s">
        <v>87</v>
      </c>
      <c r="E298" s="209" t="s">
        <v>38</v>
      </c>
      <c r="F298" s="210" t="s">
        <v>88</v>
      </c>
      <c r="G298" s="33" t="s">
        <v>54</v>
      </c>
      <c r="H298" s="217">
        <f>'прил8 (ведом 24)'!M117</f>
        <v>1484.5991199999999</v>
      </c>
    </row>
    <row r="299" spans="1:8" ht="54" x14ac:dyDescent="0.35">
      <c r="A299" s="329"/>
      <c r="B299" s="510" t="s">
        <v>364</v>
      </c>
      <c r="C299" s="208" t="s">
        <v>79</v>
      </c>
      <c r="D299" s="209" t="s">
        <v>29</v>
      </c>
      <c r="E299" s="209" t="s">
        <v>42</v>
      </c>
      <c r="F299" s="210" t="s">
        <v>43</v>
      </c>
      <c r="G299" s="33"/>
      <c r="H299" s="217">
        <f>H300</f>
        <v>12245.34001</v>
      </c>
    </row>
    <row r="300" spans="1:8" ht="65.25" customHeight="1" x14ac:dyDescent="0.35">
      <c r="A300" s="329"/>
      <c r="B300" s="509" t="s">
        <v>319</v>
      </c>
      <c r="C300" s="208" t="s">
        <v>79</v>
      </c>
      <c r="D300" s="209" t="s">
        <v>29</v>
      </c>
      <c r="E300" s="209" t="s">
        <v>36</v>
      </c>
      <c r="F300" s="210" t="s">
        <v>43</v>
      </c>
      <c r="G300" s="33"/>
      <c r="H300" s="217">
        <f>H301</f>
        <v>12245.34001</v>
      </c>
    </row>
    <row r="301" spans="1:8" ht="36" x14ac:dyDescent="0.35">
      <c r="A301" s="329"/>
      <c r="B301" s="493" t="s">
        <v>454</v>
      </c>
      <c r="C301" s="208" t="s">
        <v>79</v>
      </c>
      <c r="D301" s="209" t="s">
        <v>29</v>
      </c>
      <c r="E301" s="209" t="s">
        <v>36</v>
      </c>
      <c r="F301" s="210" t="s">
        <v>89</v>
      </c>
      <c r="G301" s="33"/>
      <c r="H301" s="217">
        <f>SUM(H302:H304)</f>
        <v>12245.34001</v>
      </c>
    </row>
    <row r="302" spans="1:8" s="339" customFormat="1" ht="90" x14ac:dyDescent="0.35">
      <c r="A302" s="329"/>
      <c r="B302" s="493" t="s">
        <v>48</v>
      </c>
      <c r="C302" s="208" t="s">
        <v>79</v>
      </c>
      <c r="D302" s="209" t="s">
        <v>29</v>
      </c>
      <c r="E302" s="209" t="s">
        <v>36</v>
      </c>
      <c r="F302" s="210" t="s">
        <v>89</v>
      </c>
      <c r="G302" s="33" t="s">
        <v>49</v>
      </c>
      <c r="H302" s="217">
        <f>'прил8 (ведом 24)'!M121</f>
        <v>9058.7999999999993</v>
      </c>
    </row>
    <row r="303" spans="1:8" ht="36" x14ac:dyDescent="0.35">
      <c r="A303" s="329"/>
      <c r="B303" s="493" t="s">
        <v>53</v>
      </c>
      <c r="C303" s="208" t="s">
        <v>79</v>
      </c>
      <c r="D303" s="209" t="s">
        <v>29</v>
      </c>
      <c r="E303" s="209" t="s">
        <v>36</v>
      </c>
      <c r="F303" s="210" t="s">
        <v>89</v>
      </c>
      <c r="G303" s="33" t="s">
        <v>54</v>
      </c>
      <c r="H303" s="217">
        <f>'прил8 (ведом 24)'!M122</f>
        <v>3183.2400100000004</v>
      </c>
    </row>
    <row r="304" spans="1:8" s="339" customFormat="1" ht="18" x14ac:dyDescent="0.35">
      <c r="A304" s="329"/>
      <c r="B304" s="493" t="s">
        <v>55</v>
      </c>
      <c r="C304" s="208" t="s">
        <v>79</v>
      </c>
      <c r="D304" s="209" t="s">
        <v>29</v>
      </c>
      <c r="E304" s="209" t="s">
        <v>36</v>
      </c>
      <c r="F304" s="210" t="s">
        <v>89</v>
      </c>
      <c r="G304" s="33" t="s">
        <v>56</v>
      </c>
      <c r="H304" s="217">
        <f>'прил8 (ведом 24)'!M123</f>
        <v>3.3</v>
      </c>
    </row>
    <row r="305" spans="1:8" s="339" customFormat="1" ht="54" x14ac:dyDescent="0.35">
      <c r="A305" s="329"/>
      <c r="B305" s="511" t="s">
        <v>467</v>
      </c>
      <c r="C305" s="676" t="s">
        <v>79</v>
      </c>
      <c r="D305" s="677" t="s">
        <v>30</v>
      </c>
      <c r="E305" s="677" t="s">
        <v>42</v>
      </c>
      <c r="F305" s="678" t="s">
        <v>43</v>
      </c>
      <c r="G305" s="15"/>
      <c r="H305" s="217">
        <f>H306</f>
        <v>28.7</v>
      </c>
    </row>
    <row r="306" spans="1:8" s="339" customFormat="1" ht="54" x14ac:dyDescent="0.35">
      <c r="A306" s="329"/>
      <c r="B306" s="512" t="s">
        <v>468</v>
      </c>
      <c r="C306" s="676" t="s">
        <v>79</v>
      </c>
      <c r="D306" s="677" t="s">
        <v>30</v>
      </c>
      <c r="E306" s="677" t="s">
        <v>36</v>
      </c>
      <c r="F306" s="678" t="s">
        <v>43</v>
      </c>
      <c r="G306" s="15"/>
      <c r="H306" s="217">
        <f>H307</f>
        <v>28.7</v>
      </c>
    </row>
    <row r="307" spans="1:8" s="339" customFormat="1" ht="36" x14ac:dyDescent="0.35">
      <c r="A307" s="329"/>
      <c r="B307" s="513" t="s">
        <v>83</v>
      </c>
      <c r="C307" s="676" t="s">
        <v>79</v>
      </c>
      <c r="D307" s="677" t="s">
        <v>30</v>
      </c>
      <c r="E307" s="677" t="s">
        <v>36</v>
      </c>
      <c r="F307" s="678" t="s">
        <v>84</v>
      </c>
      <c r="G307" s="15"/>
      <c r="H307" s="217">
        <f>H308</f>
        <v>28.7</v>
      </c>
    </row>
    <row r="308" spans="1:8" s="339" customFormat="1" ht="36" x14ac:dyDescent="0.35">
      <c r="A308" s="329"/>
      <c r="B308" s="514" t="s">
        <v>53</v>
      </c>
      <c r="C308" s="676" t="s">
        <v>79</v>
      </c>
      <c r="D308" s="677" t="s">
        <v>30</v>
      </c>
      <c r="E308" s="677" t="s">
        <v>36</v>
      </c>
      <c r="F308" s="678" t="s">
        <v>84</v>
      </c>
      <c r="G308" s="15" t="s">
        <v>54</v>
      </c>
      <c r="H308" s="217">
        <f>'прил8 (ведом 24)'!M127</f>
        <v>28.7</v>
      </c>
    </row>
    <row r="309" spans="1:8" ht="18" x14ac:dyDescent="0.35">
      <c r="A309" s="354"/>
      <c r="B309" s="496"/>
      <c r="C309" s="355"/>
      <c r="D309" s="670"/>
      <c r="E309" s="670"/>
      <c r="F309" s="671"/>
      <c r="G309" s="238"/>
      <c r="H309" s="217"/>
    </row>
    <row r="310" spans="1:8" s="339" customFormat="1" ht="52.2" x14ac:dyDescent="0.3">
      <c r="A310" s="344">
        <v>6</v>
      </c>
      <c r="B310" s="505" t="s">
        <v>219</v>
      </c>
      <c r="C310" s="336" t="s">
        <v>220</v>
      </c>
      <c r="D310" s="336" t="s">
        <v>41</v>
      </c>
      <c r="E310" s="336" t="s">
        <v>42</v>
      </c>
      <c r="F310" s="337" t="s">
        <v>43</v>
      </c>
      <c r="G310" s="338"/>
      <c r="H310" s="251">
        <f>H311</f>
        <v>47659.299999999996</v>
      </c>
    </row>
    <row r="311" spans="1:8" ht="31.5" customHeight="1" x14ac:dyDescent="0.35">
      <c r="A311" s="329"/>
      <c r="B311" s="493" t="s">
        <v>335</v>
      </c>
      <c r="C311" s="356" t="s">
        <v>220</v>
      </c>
      <c r="D311" s="357" t="s">
        <v>44</v>
      </c>
      <c r="E311" s="209" t="s">
        <v>42</v>
      </c>
      <c r="F311" s="210" t="s">
        <v>43</v>
      </c>
      <c r="G311" s="33"/>
      <c r="H311" s="217">
        <f>H312+H321+H326+H332+H329</f>
        <v>47659.299999999996</v>
      </c>
    </row>
    <row r="312" spans="1:8" ht="46.5" customHeight="1" x14ac:dyDescent="0.35">
      <c r="A312" s="329"/>
      <c r="B312" s="493" t="s">
        <v>299</v>
      </c>
      <c r="C312" s="356" t="s">
        <v>220</v>
      </c>
      <c r="D312" s="357" t="s">
        <v>44</v>
      </c>
      <c r="E312" s="209" t="s">
        <v>36</v>
      </c>
      <c r="F312" s="210" t="s">
        <v>43</v>
      </c>
      <c r="G312" s="33"/>
      <c r="H312" s="217">
        <f>H313+H319+H317</f>
        <v>31724.9</v>
      </c>
    </row>
    <row r="313" spans="1:8" ht="36" x14ac:dyDescent="0.35">
      <c r="A313" s="329"/>
      <c r="B313" s="493" t="s">
        <v>46</v>
      </c>
      <c r="C313" s="356" t="s">
        <v>220</v>
      </c>
      <c r="D313" s="357" t="s">
        <v>44</v>
      </c>
      <c r="E313" s="209" t="s">
        <v>36</v>
      </c>
      <c r="F313" s="210" t="s">
        <v>47</v>
      </c>
      <c r="G313" s="33"/>
      <c r="H313" s="217">
        <f>SUM(H314:H316)</f>
        <v>31446.600000000002</v>
      </c>
    </row>
    <row r="314" spans="1:8" ht="90" x14ac:dyDescent="0.35">
      <c r="A314" s="329"/>
      <c r="B314" s="493" t="s">
        <v>48</v>
      </c>
      <c r="C314" s="356" t="s">
        <v>220</v>
      </c>
      <c r="D314" s="357" t="s">
        <v>44</v>
      </c>
      <c r="E314" s="209" t="s">
        <v>36</v>
      </c>
      <c r="F314" s="210" t="s">
        <v>47</v>
      </c>
      <c r="G314" s="33" t="s">
        <v>49</v>
      </c>
      <c r="H314" s="217">
        <f>'прил8 (ведом 24)'!M226</f>
        <v>30863.000000000004</v>
      </c>
    </row>
    <row r="315" spans="1:8" ht="36" x14ac:dyDescent="0.35">
      <c r="A315" s="329"/>
      <c r="B315" s="493" t="s">
        <v>53</v>
      </c>
      <c r="C315" s="356" t="s">
        <v>220</v>
      </c>
      <c r="D315" s="357" t="s">
        <v>44</v>
      </c>
      <c r="E315" s="209" t="s">
        <v>36</v>
      </c>
      <c r="F315" s="210" t="s">
        <v>47</v>
      </c>
      <c r="G315" s="33" t="s">
        <v>54</v>
      </c>
      <c r="H315" s="217">
        <f>'прил8 (ведом 24)'!M227</f>
        <v>579</v>
      </c>
    </row>
    <row r="316" spans="1:8" ht="18" x14ac:dyDescent="0.35">
      <c r="A316" s="329"/>
      <c r="B316" s="493" t="s">
        <v>55</v>
      </c>
      <c r="C316" s="356" t="s">
        <v>220</v>
      </c>
      <c r="D316" s="357" t="s">
        <v>44</v>
      </c>
      <c r="E316" s="209" t="s">
        <v>36</v>
      </c>
      <c r="F316" s="210" t="s">
        <v>47</v>
      </c>
      <c r="G316" s="33" t="s">
        <v>56</v>
      </c>
      <c r="H316" s="217">
        <f>'прил8 (ведом 24)'!M228</f>
        <v>4.5999999999999996</v>
      </c>
    </row>
    <row r="317" spans="1:8" ht="36" x14ac:dyDescent="0.35">
      <c r="A317" s="329"/>
      <c r="B317" s="494" t="s">
        <v>496</v>
      </c>
      <c r="C317" s="356" t="s">
        <v>220</v>
      </c>
      <c r="D317" s="357" t="s">
        <v>44</v>
      </c>
      <c r="E317" s="209" t="s">
        <v>36</v>
      </c>
      <c r="F317" s="210" t="s">
        <v>495</v>
      </c>
      <c r="G317" s="33"/>
      <c r="H317" s="217">
        <f>H318</f>
        <v>115.6</v>
      </c>
    </row>
    <row r="318" spans="1:8" ht="36" x14ac:dyDescent="0.35">
      <c r="A318" s="329"/>
      <c r="B318" s="494" t="s">
        <v>53</v>
      </c>
      <c r="C318" s="356" t="s">
        <v>220</v>
      </c>
      <c r="D318" s="357" t="s">
        <v>44</v>
      </c>
      <c r="E318" s="209" t="s">
        <v>36</v>
      </c>
      <c r="F318" s="210" t="s">
        <v>495</v>
      </c>
      <c r="G318" s="33" t="s">
        <v>54</v>
      </c>
      <c r="H318" s="217">
        <f>'прил8 (ведом 24)'!M250</f>
        <v>115.6</v>
      </c>
    </row>
    <row r="319" spans="1:8" ht="54" x14ac:dyDescent="0.35">
      <c r="A319" s="329"/>
      <c r="B319" s="494" t="s">
        <v>375</v>
      </c>
      <c r="C319" s="356" t="s">
        <v>220</v>
      </c>
      <c r="D319" s="357" t="s">
        <v>44</v>
      </c>
      <c r="E319" s="209" t="s">
        <v>36</v>
      </c>
      <c r="F319" s="210" t="s">
        <v>374</v>
      </c>
      <c r="G319" s="33"/>
      <c r="H319" s="217">
        <f>H320</f>
        <v>162.69999999999999</v>
      </c>
    </row>
    <row r="320" spans="1:8" ht="36" x14ac:dyDescent="0.35">
      <c r="A320" s="329"/>
      <c r="B320" s="494" t="s">
        <v>53</v>
      </c>
      <c r="C320" s="356" t="s">
        <v>220</v>
      </c>
      <c r="D320" s="357" t="s">
        <v>44</v>
      </c>
      <c r="E320" s="209" t="s">
        <v>36</v>
      </c>
      <c r="F320" s="210" t="s">
        <v>374</v>
      </c>
      <c r="G320" s="33" t="s">
        <v>54</v>
      </c>
      <c r="H320" s="217">
        <f>'прил8 (ведом 24)'!M237</f>
        <v>162.69999999999999</v>
      </c>
    </row>
    <row r="321" spans="1:8" ht="18" x14ac:dyDescent="0.35">
      <c r="A321" s="329"/>
      <c r="B321" s="493" t="s">
        <v>300</v>
      </c>
      <c r="C321" s="356" t="s">
        <v>220</v>
      </c>
      <c r="D321" s="357" t="s">
        <v>44</v>
      </c>
      <c r="E321" s="209" t="s">
        <v>38</v>
      </c>
      <c r="F321" s="210" t="s">
        <v>43</v>
      </c>
      <c r="G321" s="33"/>
      <c r="H321" s="217">
        <f>H322+H324</f>
        <v>11400</v>
      </c>
    </row>
    <row r="322" spans="1:8" ht="36" x14ac:dyDescent="0.35">
      <c r="A322" s="329"/>
      <c r="B322" s="494" t="s">
        <v>254</v>
      </c>
      <c r="C322" s="356" t="s">
        <v>220</v>
      </c>
      <c r="D322" s="357" t="s">
        <v>44</v>
      </c>
      <c r="E322" s="209" t="s">
        <v>38</v>
      </c>
      <c r="F322" s="210" t="s">
        <v>401</v>
      </c>
      <c r="G322" s="33"/>
      <c r="H322" s="217">
        <f>H323</f>
        <v>9000</v>
      </c>
    </row>
    <row r="323" spans="1:8" ht="18" x14ac:dyDescent="0.35">
      <c r="A323" s="329"/>
      <c r="B323" s="494" t="s">
        <v>121</v>
      </c>
      <c r="C323" s="356" t="s">
        <v>220</v>
      </c>
      <c r="D323" s="357" t="s">
        <v>44</v>
      </c>
      <c r="E323" s="209" t="s">
        <v>38</v>
      </c>
      <c r="F323" s="210" t="s">
        <v>401</v>
      </c>
      <c r="G323" s="33" t="s">
        <v>122</v>
      </c>
      <c r="H323" s="217">
        <f>'прил8 (ведом 24)'!M257</f>
        <v>9000</v>
      </c>
    </row>
    <row r="324" spans="1:8" ht="54" x14ac:dyDescent="0.35">
      <c r="A324" s="329"/>
      <c r="B324" s="578" t="s">
        <v>684</v>
      </c>
      <c r="C324" s="30" t="s">
        <v>220</v>
      </c>
      <c r="D324" s="31" t="s">
        <v>44</v>
      </c>
      <c r="E324" s="677" t="s">
        <v>38</v>
      </c>
      <c r="F324" s="678" t="s">
        <v>685</v>
      </c>
      <c r="G324" s="15"/>
      <c r="H324" s="217">
        <f>H325</f>
        <v>2400</v>
      </c>
    </row>
    <row r="325" spans="1:8" ht="18" x14ac:dyDescent="0.35">
      <c r="A325" s="329"/>
      <c r="B325" s="578" t="s">
        <v>121</v>
      </c>
      <c r="C325" s="30" t="s">
        <v>220</v>
      </c>
      <c r="D325" s="31" t="s">
        <v>44</v>
      </c>
      <c r="E325" s="677" t="s">
        <v>38</v>
      </c>
      <c r="F325" s="678" t="s">
        <v>685</v>
      </c>
      <c r="G325" s="15" t="s">
        <v>122</v>
      </c>
      <c r="H325" s="217">
        <f>'прил8 (ведом 24)'!M263</f>
        <v>2400</v>
      </c>
    </row>
    <row r="326" spans="1:8" ht="36" x14ac:dyDescent="0.35">
      <c r="A326" s="329"/>
      <c r="B326" s="493" t="s">
        <v>347</v>
      </c>
      <c r="C326" s="356" t="s">
        <v>220</v>
      </c>
      <c r="D326" s="357" t="s">
        <v>44</v>
      </c>
      <c r="E326" s="209" t="s">
        <v>61</v>
      </c>
      <c r="F326" s="210" t="s">
        <v>43</v>
      </c>
      <c r="G326" s="33"/>
      <c r="H326" s="217">
        <f>H327</f>
        <v>3481.7</v>
      </c>
    </row>
    <row r="327" spans="1:8" ht="54" x14ac:dyDescent="0.35">
      <c r="A327" s="329"/>
      <c r="B327" s="493" t="s">
        <v>348</v>
      </c>
      <c r="C327" s="356" t="s">
        <v>220</v>
      </c>
      <c r="D327" s="357" t="s">
        <v>44</v>
      </c>
      <c r="E327" s="209" t="s">
        <v>61</v>
      </c>
      <c r="F327" s="210" t="s">
        <v>103</v>
      </c>
      <c r="G327" s="33"/>
      <c r="H327" s="217">
        <f>H328</f>
        <v>3481.7</v>
      </c>
    </row>
    <row r="328" spans="1:8" ht="36" x14ac:dyDescent="0.35">
      <c r="A328" s="329"/>
      <c r="B328" s="493" t="s">
        <v>53</v>
      </c>
      <c r="C328" s="356" t="s">
        <v>220</v>
      </c>
      <c r="D328" s="357" t="s">
        <v>44</v>
      </c>
      <c r="E328" s="209" t="s">
        <v>61</v>
      </c>
      <c r="F328" s="210" t="s">
        <v>103</v>
      </c>
      <c r="G328" s="33" t="s">
        <v>54</v>
      </c>
      <c r="H328" s="217">
        <f>'прил8 (ведом 24)'!M240</f>
        <v>3481.7</v>
      </c>
    </row>
    <row r="329" spans="1:8" ht="54" x14ac:dyDescent="0.35">
      <c r="A329" s="329"/>
      <c r="B329" s="578" t="s">
        <v>552</v>
      </c>
      <c r="C329" s="30" t="s">
        <v>220</v>
      </c>
      <c r="D329" s="31" t="s">
        <v>44</v>
      </c>
      <c r="E329" s="677" t="s">
        <v>50</v>
      </c>
      <c r="F329" s="678" t="s">
        <v>43</v>
      </c>
      <c r="G329" s="15"/>
      <c r="H329" s="217">
        <f>H330</f>
        <v>1035.0999999999999</v>
      </c>
    </row>
    <row r="330" spans="1:8" ht="36" x14ac:dyDescent="0.35">
      <c r="A330" s="329"/>
      <c r="B330" s="578" t="s">
        <v>551</v>
      </c>
      <c r="C330" s="30" t="s">
        <v>220</v>
      </c>
      <c r="D330" s="31" t="s">
        <v>44</v>
      </c>
      <c r="E330" s="677" t="s">
        <v>50</v>
      </c>
      <c r="F330" s="678" t="s">
        <v>553</v>
      </c>
      <c r="G330" s="15"/>
      <c r="H330" s="217">
        <f>H331</f>
        <v>1035.0999999999999</v>
      </c>
    </row>
    <row r="331" spans="1:8" ht="90" x14ac:dyDescent="0.35">
      <c r="A331" s="329"/>
      <c r="B331" s="578" t="s">
        <v>48</v>
      </c>
      <c r="C331" s="30" t="s">
        <v>220</v>
      </c>
      <c r="D331" s="31" t="s">
        <v>44</v>
      </c>
      <c r="E331" s="677" t="s">
        <v>50</v>
      </c>
      <c r="F331" s="678" t="s">
        <v>553</v>
      </c>
      <c r="G331" s="15" t="s">
        <v>49</v>
      </c>
      <c r="H331" s="217">
        <f>'прил8 (ведом 24)'!M231</f>
        <v>1035.0999999999999</v>
      </c>
    </row>
    <row r="332" spans="1:8" ht="36" x14ac:dyDescent="0.35">
      <c r="A332" s="329"/>
      <c r="B332" s="494" t="s">
        <v>458</v>
      </c>
      <c r="C332" s="356" t="s">
        <v>220</v>
      </c>
      <c r="D332" s="357" t="s">
        <v>44</v>
      </c>
      <c r="E332" s="209" t="s">
        <v>63</v>
      </c>
      <c r="F332" s="210" t="s">
        <v>43</v>
      </c>
      <c r="G332" s="33"/>
      <c r="H332" s="217">
        <f>H333</f>
        <v>17.600000000000001</v>
      </c>
    </row>
    <row r="333" spans="1:8" ht="18" x14ac:dyDescent="0.35">
      <c r="A333" s="329"/>
      <c r="B333" s="494" t="s">
        <v>456</v>
      </c>
      <c r="C333" s="356" t="s">
        <v>220</v>
      </c>
      <c r="D333" s="357" t="s">
        <v>44</v>
      </c>
      <c r="E333" s="209" t="s">
        <v>63</v>
      </c>
      <c r="F333" s="210" t="s">
        <v>457</v>
      </c>
      <c r="G333" s="33"/>
      <c r="H333" s="217">
        <f>H334</f>
        <v>17.600000000000001</v>
      </c>
    </row>
    <row r="334" spans="1:8" ht="36" x14ac:dyDescent="0.35">
      <c r="A334" s="329"/>
      <c r="B334" s="494" t="s">
        <v>53</v>
      </c>
      <c r="C334" s="356" t="s">
        <v>220</v>
      </c>
      <c r="D334" s="357" t="s">
        <v>44</v>
      </c>
      <c r="E334" s="209" t="s">
        <v>63</v>
      </c>
      <c r="F334" s="210" t="s">
        <v>457</v>
      </c>
      <c r="G334" s="33" t="s">
        <v>54</v>
      </c>
      <c r="H334" s="217">
        <f>'прил8 (ведом 24)'!M243</f>
        <v>17.600000000000001</v>
      </c>
    </row>
    <row r="335" spans="1:8" ht="18" x14ac:dyDescent="0.35">
      <c r="A335" s="329"/>
      <c r="B335" s="493"/>
      <c r="C335" s="357"/>
      <c r="D335" s="357"/>
      <c r="E335" s="357"/>
      <c r="F335" s="358"/>
      <c r="G335" s="33"/>
      <c r="H335" s="217"/>
    </row>
    <row r="336" spans="1:8" s="339" customFormat="1" ht="52.2" x14ac:dyDescent="0.3">
      <c r="A336" s="335">
        <v>7</v>
      </c>
      <c r="B336" s="515" t="s">
        <v>221</v>
      </c>
      <c r="C336" s="359" t="s">
        <v>222</v>
      </c>
      <c r="D336" s="345" t="s">
        <v>41</v>
      </c>
      <c r="E336" s="345" t="s">
        <v>42</v>
      </c>
      <c r="F336" s="346" t="s">
        <v>43</v>
      </c>
      <c r="G336" s="360"/>
      <c r="H336" s="251">
        <f>H337+H346+H366</f>
        <v>32880.622999999992</v>
      </c>
    </row>
    <row r="337" spans="1:8" ht="36" x14ac:dyDescent="0.35">
      <c r="A337" s="354"/>
      <c r="B337" s="516" t="s">
        <v>223</v>
      </c>
      <c r="C337" s="402" t="s">
        <v>222</v>
      </c>
      <c r="D337" s="368" t="s">
        <v>44</v>
      </c>
      <c r="E337" s="368" t="s">
        <v>42</v>
      </c>
      <c r="F337" s="369" t="s">
        <v>43</v>
      </c>
      <c r="G337" s="672"/>
      <c r="H337" s="217">
        <f>H338+H343</f>
        <v>6327.5860000000002</v>
      </c>
    </row>
    <row r="338" spans="1:8" ht="72" x14ac:dyDescent="0.35">
      <c r="A338" s="354"/>
      <c r="B338" s="516" t="s">
        <v>293</v>
      </c>
      <c r="C338" s="381" t="s">
        <v>222</v>
      </c>
      <c r="D338" s="355" t="s">
        <v>44</v>
      </c>
      <c r="E338" s="355" t="s">
        <v>36</v>
      </c>
      <c r="F338" s="365" t="s">
        <v>43</v>
      </c>
      <c r="G338" s="366"/>
      <c r="H338" s="217">
        <f>H339+H341</f>
        <v>1592.5</v>
      </c>
    </row>
    <row r="339" spans="1:8" ht="54" x14ac:dyDescent="0.35">
      <c r="A339" s="354"/>
      <c r="B339" s="516" t="s">
        <v>224</v>
      </c>
      <c r="C339" s="381" t="s">
        <v>222</v>
      </c>
      <c r="D339" s="355" t="s">
        <v>44</v>
      </c>
      <c r="E339" s="355" t="s">
        <v>36</v>
      </c>
      <c r="F339" s="365" t="s">
        <v>294</v>
      </c>
      <c r="G339" s="366"/>
      <c r="H339" s="217">
        <f>H340</f>
        <v>800.7</v>
      </c>
    </row>
    <row r="340" spans="1:8" ht="36" x14ac:dyDescent="0.35">
      <c r="A340" s="354"/>
      <c r="B340" s="493" t="s">
        <v>53</v>
      </c>
      <c r="C340" s="381" t="s">
        <v>222</v>
      </c>
      <c r="D340" s="355" t="s">
        <v>44</v>
      </c>
      <c r="E340" s="355" t="s">
        <v>36</v>
      </c>
      <c r="F340" s="365" t="s">
        <v>294</v>
      </c>
      <c r="G340" s="366" t="s">
        <v>54</v>
      </c>
      <c r="H340" s="217">
        <f>'прил8 (ведом 24)'!M290</f>
        <v>800.7</v>
      </c>
    </row>
    <row r="341" spans="1:8" ht="25.5" customHeight="1" x14ac:dyDescent="0.35">
      <c r="A341" s="354"/>
      <c r="B341" s="517" t="s">
        <v>368</v>
      </c>
      <c r="C341" s="347" t="s">
        <v>222</v>
      </c>
      <c r="D341" s="355" t="s">
        <v>44</v>
      </c>
      <c r="E341" s="355" t="s">
        <v>36</v>
      </c>
      <c r="F341" s="365" t="s">
        <v>367</v>
      </c>
      <c r="G341" s="366"/>
      <c r="H341" s="217">
        <f>H342</f>
        <v>791.8</v>
      </c>
    </row>
    <row r="342" spans="1:8" ht="36" x14ac:dyDescent="0.35">
      <c r="A342" s="354"/>
      <c r="B342" s="494" t="s">
        <v>53</v>
      </c>
      <c r="C342" s="347" t="s">
        <v>222</v>
      </c>
      <c r="D342" s="355" t="s">
        <v>44</v>
      </c>
      <c r="E342" s="355" t="s">
        <v>36</v>
      </c>
      <c r="F342" s="365" t="s">
        <v>367</v>
      </c>
      <c r="G342" s="366" t="s">
        <v>54</v>
      </c>
      <c r="H342" s="217">
        <f>'прил8 (ведом 24)'!M334</f>
        <v>791.8</v>
      </c>
    </row>
    <row r="343" spans="1:8" ht="36" x14ac:dyDescent="0.35">
      <c r="A343" s="354"/>
      <c r="B343" s="493" t="s">
        <v>334</v>
      </c>
      <c r="C343" s="381" t="s">
        <v>222</v>
      </c>
      <c r="D343" s="355" t="s">
        <v>44</v>
      </c>
      <c r="E343" s="355" t="s">
        <v>38</v>
      </c>
      <c r="F343" s="365" t="s">
        <v>43</v>
      </c>
      <c r="G343" s="366"/>
      <c r="H343" s="217">
        <f>H344</f>
        <v>4735.0860000000002</v>
      </c>
    </row>
    <row r="344" spans="1:8" ht="36" x14ac:dyDescent="0.35">
      <c r="A344" s="354"/>
      <c r="B344" s="493" t="s">
        <v>333</v>
      </c>
      <c r="C344" s="381" t="s">
        <v>222</v>
      </c>
      <c r="D344" s="355" t="s">
        <v>44</v>
      </c>
      <c r="E344" s="355" t="s">
        <v>38</v>
      </c>
      <c r="F344" s="365" t="s">
        <v>332</v>
      </c>
      <c r="G344" s="366"/>
      <c r="H344" s="217">
        <f>SUM(H345:H345)</f>
        <v>4735.0860000000002</v>
      </c>
    </row>
    <row r="345" spans="1:8" ht="36" x14ac:dyDescent="0.35">
      <c r="A345" s="354"/>
      <c r="B345" s="493" t="s">
        <v>53</v>
      </c>
      <c r="C345" s="381" t="s">
        <v>222</v>
      </c>
      <c r="D345" s="355" t="s">
        <v>44</v>
      </c>
      <c r="E345" s="355" t="s">
        <v>38</v>
      </c>
      <c r="F345" s="365" t="s">
        <v>332</v>
      </c>
      <c r="G345" s="366" t="s">
        <v>54</v>
      </c>
      <c r="H345" s="217">
        <f>'прил8 (ведом 24)'!M293</f>
        <v>4735.0860000000002</v>
      </c>
    </row>
    <row r="346" spans="1:8" ht="36" x14ac:dyDescent="0.35">
      <c r="A346" s="354"/>
      <c r="B346" s="516" t="s">
        <v>225</v>
      </c>
      <c r="C346" s="347" t="s">
        <v>222</v>
      </c>
      <c r="D346" s="355" t="s">
        <v>87</v>
      </c>
      <c r="E346" s="355" t="s">
        <v>42</v>
      </c>
      <c r="F346" s="365" t="s">
        <v>43</v>
      </c>
      <c r="G346" s="366"/>
      <c r="H346" s="217">
        <f>H347+H360+H363</f>
        <v>21830.629999999997</v>
      </c>
    </row>
    <row r="347" spans="1:8" ht="72" x14ac:dyDescent="0.35">
      <c r="A347" s="354"/>
      <c r="B347" s="516" t="s">
        <v>297</v>
      </c>
      <c r="C347" s="347" t="s">
        <v>222</v>
      </c>
      <c r="D347" s="355" t="s">
        <v>87</v>
      </c>
      <c r="E347" s="355" t="s">
        <v>36</v>
      </c>
      <c r="F347" s="365" t="s">
        <v>43</v>
      </c>
      <c r="G347" s="366"/>
      <c r="H347" s="217">
        <f>H348+H352+H356+H358</f>
        <v>20871.629999999997</v>
      </c>
    </row>
    <row r="348" spans="1:8" ht="36" x14ac:dyDescent="0.35">
      <c r="A348" s="354"/>
      <c r="B348" s="516" t="s">
        <v>46</v>
      </c>
      <c r="C348" s="347" t="s">
        <v>222</v>
      </c>
      <c r="D348" s="355" t="s">
        <v>87</v>
      </c>
      <c r="E348" s="355" t="s">
        <v>36</v>
      </c>
      <c r="F348" s="365" t="s">
        <v>47</v>
      </c>
      <c r="G348" s="366"/>
      <c r="H348" s="217">
        <f>SUM(H349:H351)</f>
        <v>10992.5</v>
      </c>
    </row>
    <row r="349" spans="1:8" ht="90" x14ac:dyDescent="0.35">
      <c r="A349" s="354"/>
      <c r="B349" s="516" t="s">
        <v>48</v>
      </c>
      <c r="C349" s="347" t="s">
        <v>222</v>
      </c>
      <c r="D349" s="355" t="s">
        <v>87</v>
      </c>
      <c r="E349" s="355" t="s">
        <v>36</v>
      </c>
      <c r="F349" s="365" t="s">
        <v>47</v>
      </c>
      <c r="G349" s="366" t="s">
        <v>49</v>
      </c>
      <c r="H349" s="217">
        <f>'прил8 (ведом 24)'!M297</f>
        <v>10644.9</v>
      </c>
    </row>
    <row r="350" spans="1:8" ht="36" x14ac:dyDescent="0.35">
      <c r="A350" s="354"/>
      <c r="B350" s="493" t="s">
        <v>53</v>
      </c>
      <c r="C350" s="347" t="s">
        <v>222</v>
      </c>
      <c r="D350" s="355" t="s">
        <v>87</v>
      </c>
      <c r="E350" s="355" t="s">
        <v>36</v>
      </c>
      <c r="F350" s="365" t="s">
        <v>47</v>
      </c>
      <c r="G350" s="366" t="s">
        <v>54</v>
      </c>
      <c r="H350" s="217">
        <f>'прил8 (ведом 24)'!M298</f>
        <v>346.1</v>
      </c>
    </row>
    <row r="351" spans="1:8" ht="18" x14ac:dyDescent="0.35">
      <c r="A351" s="354"/>
      <c r="B351" s="516" t="s">
        <v>55</v>
      </c>
      <c r="C351" s="347" t="s">
        <v>222</v>
      </c>
      <c r="D351" s="355" t="s">
        <v>87</v>
      </c>
      <c r="E351" s="355" t="s">
        <v>36</v>
      </c>
      <c r="F351" s="365" t="s">
        <v>47</v>
      </c>
      <c r="G351" s="366" t="s">
        <v>56</v>
      </c>
      <c r="H351" s="217">
        <f>'прил8 (ведом 24)'!M299</f>
        <v>1.5</v>
      </c>
    </row>
    <row r="352" spans="1:8" ht="36" x14ac:dyDescent="0.35">
      <c r="A352" s="354"/>
      <c r="B352" s="493" t="s">
        <v>454</v>
      </c>
      <c r="C352" s="347" t="s">
        <v>222</v>
      </c>
      <c r="D352" s="355" t="s">
        <v>87</v>
      </c>
      <c r="E352" s="355" t="s">
        <v>36</v>
      </c>
      <c r="F352" s="365" t="s">
        <v>89</v>
      </c>
      <c r="G352" s="366"/>
      <c r="H352" s="217">
        <f>SUM(H353:H355)</f>
        <v>9445.0299999999988</v>
      </c>
    </row>
    <row r="353" spans="1:8" ht="90" x14ac:dyDescent="0.35">
      <c r="A353" s="354"/>
      <c r="B353" s="516" t="s">
        <v>48</v>
      </c>
      <c r="C353" s="347" t="s">
        <v>222</v>
      </c>
      <c r="D353" s="355" t="s">
        <v>87</v>
      </c>
      <c r="E353" s="355" t="s">
        <v>36</v>
      </c>
      <c r="F353" s="365" t="s">
        <v>89</v>
      </c>
      <c r="G353" s="366" t="s">
        <v>49</v>
      </c>
      <c r="H353" s="217">
        <f>'прил8 (ведом 24)'!M301</f>
        <v>8518.07</v>
      </c>
    </row>
    <row r="354" spans="1:8" ht="36" x14ac:dyDescent="0.35">
      <c r="A354" s="354"/>
      <c r="B354" s="493" t="s">
        <v>53</v>
      </c>
      <c r="C354" s="367" t="s">
        <v>222</v>
      </c>
      <c r="D354" s="368" t="s">
        <v>87</v>
      </c>
      <c r="E354" s="368" t="s">
        <v>36</v>
      </c>
      <c r="F354" s="369" t="s">
        <v>89</v>
      </c>
      <c r="G354" s="366" t="s">
        <v>54</v>
      </c>
      <c r="H354" s="217">
        <f>'прил8 (ведом 24)'!M302</f>
        <v>904.46</v>
      </c>
    </row>
    <row r="355" spans="1:8" ht="18" x14ac:dyDescent="0.35">
      <c r="A355" s="354"/>
      <c r="B355" s="516" t="s">
        <v>55</v>
      </c>
      <c r="C355" s="347" t="s">
        <v>222</v>
      </c>
      <c r="D355" s="355" t="s">
        <v>87</v>
      </c>
      <c r="E355" s="355" t="s">
        <v>36</v>
      </c>
      <c r="F355" s="365" t="s">
        <v>89</v>
      </c>
      <c r="G355" s="366" t="s">
        <v>56</v>
      </c>
      <c r="H355" s="217">
        <f>'прил8 (ведом 24)'!M303</f>
        <v>22.5</v>
      </c>
    </row>
    <row r="356" spans="1:8" ht="36" x14ac:dyDescent="0.35">
      <c r="A356" s="354"/>
      <c r="B356" s="494" t="s">
        <v>496</v>
      </c>
      <c r="C356" s="370" t="s">
        <v>222</v>
      </c>
      <c r="D356" s="341" t="s">
        <v>87</v>
      </c>
      <c r="E356" s="341" t="s">
        <v>36</v>
      </c>
      <c r="F356" s="364" t="s">
        <v>495</v>
      </c>
      <c r="G356" s="343"/>
      <c r="H356" s="217">
        <f>H357</f>
        <v>32.799999999999997</v>
      </c>
    </row>
    <row r="357" spans="1:8" ht="36" x14ac:dyDescent="0.35">
      <c r="A357" s="354"/>
      <c r="B357" s="494" t="s">
        <v>53</v>
      </c>
      <c r="C357" s="370" t="s">
        <v>222</v>
      </c>
      <c r="D357" s="341" t="s">
        <v>87</v>
      </c>
      <c r="E357" s="341" t="s">
        <v>36</v>
      </c>
      <c r="F357" s="364" t="s">
        <v>495</v>
      </c>
      <c r="G357" s="343" t="s">
        <v>54</v>
      </c>
      <c r="H357" s="217">
        <f>'прил8 (ведом 24)'!M368</f>
        <v>32.799999999999997</v>
      </c>
    </row>
    <row r="358" spans="1:8" ht="54" x14ac:dyDescent="0.35">
      <c r="A358" s="354"/>
      <c r="B358" s="494" t="s">
        <v>350</v>
      </c>
      <c r="C358" s="347" t="s">
        <v>222</v>
      </c>
      <c r="D358" s="355" t="s">
        <v>87</v>
      </c>
      <c r="E358" s="355" t="s">
        <v>36</v>
      </c>
      <c r="F358" s="365" t="s">
        <v>349</v>
      </c>
      <c r="G358" s="366"/>
      <c r="H358" s="217">
        <f>H359</f>
        <v>401.3</v>
      </c>
    </row>
    <row r="359" spans="1:8" ht="36" x14ac:dyDescent="0.35">
      <c r="A359" s="354"/>
      <c r="B359" s="494" t="s">
        <v>53</v>
      </c>
      <c r="C359" s="347" t="s">
        <v>222</v>
      </c>
      <c r="D359" s="355" t="s">
        <v>87</v>
      </c>
      <c r="E359" s="355" t="s">
        <v>36</v>
      </c>
      <c r="F359" s="365" t="s">
        <v>349</v>
      </c>
      <c r="G359" s="366" t="s">
        <v>54</v>
      </c>
      <c r="H359" s="217">
        <f>'прил8 (ведом 24)'!M305</f>
        <v>401.3</v>
      </c>
    </row>
    <row r="360" spans="1:8" ht="36" x14ac:dyDescent="0.35">
      <c r="A360" s="354"/>
      <c r="B360" s="518" t="s">
        <v>347</v>
      </c>
      <c r="C360" s="403" t="s">
        <v>222</v>
      </c>
      <c r="D360" s="404" t="s">
        <v>87</v>
      </c>
      <c r="E360" s="404" t="s">
        <v>38</v>
      </c>
      <c r="F360" s="405" t="s">
        <v>43</v>
      </c>
      <c r="G360" s="374"/>
      <c r="H360" s="406">
        <f>H361</f>
        <v>948.4</v>
      </c>
    </row>
    <row r="361" spans="1:8" ht="54" x14ac:dyDescent="0.35">
      <c r="A361" s="354"/>
      <c r="B361" s="519" t="s">
        <v>348</v>
      </c>
      <c r="C361" s="370" t="s">
        <v>222</v>
      </c>
      <c r="D361" s="372" t="s">
        <v>87</v>
      </c>
      <c r="E361" s="372" t="s">
        <v>38</v>
      </c>
      <c r="F361" s="373" t="s">
        <v>103</v>
      </c>
      <c r="G361" s="376"/>
      <c r="H361" s="217">
        <f>H362</f>
        <v>948.4</v>
      </c>
    </row>
    <row r="362" spans="1:8" ht="36" x14ac:dyDescent="0.35">
      <c r="A362" s="354"/>
      <c r="B362" s="520" t="s">
        <v>53</v>
      </c>
      <c r="C362" s="407" t="s">
        <v>222</v>
      </c>
      <c r="D362" s="372" t="s">
        <v>87</v>
      </c>
      <c r="E362" s="372" t="s">
        <v>38</v>
      </c>
      <c r="F362" s="373" t="s">
        <v>103</v>
      </c>
      <c r="G362" s="376" t="s">
        <v>54</v>
      </c>
      <c r="H362" s="217">
        <f>'прил8 (ведом 24)'!M308</f>
        <v>948.4</v>
      </c>
    </row>
    <row r="363" spans="1:8" ht="18" x14ac:dyDescent="0.35">
      <c r="A363" s="354"/>
      <c r="B363" s="516" t="s">
        <v>370</v>
      </c>
      <c r="C363" s="380" t="s">
        <v>222</v>
      </c>
      <c r="D363" s="377" t="s">
        <v>87</v>
      </c>
      <c r="E363" s="408" t="s">
        <v>61</v>
      </c>
      <c r="F363" s="409" t="s">
        <v>43</v>
      </c>
      <c r="G363" s="410"/>
      <c r="H363" s="217">
        <f>H364</f>
        <v>10.6</v>
      </c>
    </row>
    <row r="364" spans="1:8" ht="36" x14ac:dyDescent="0.35">
      <c r="A364" s="354"/>
      <c r="B364" s="516" t="s">
        <v>333</v>
      </c>
      <c r="C364" s="380" t="s">
        <v>222</v>
      </c>
      <c r="D364" s="377" t="s">
        <v>87</v>
      </c>
      <c r="E364" s="411" t="s">
        <v>61</v>
      </c>
      <c r="F364" s="412" t="s">
        <v>332</v>
      </c>
      <c r="G364" s="410"/>
      <c r="H364" s="217">
        <f>H365</f>
        <v>10.6</v>
      </c>
    </row>
    <row r="365" spans="1:8" ht="18" x14ac:dyDescent="0.35">
      <c r="A365" s="354"/>
      <c r="B365" s="517" t="s">
        <v>55</v>
      </c>
      <c r="C365" s="347" t="s">
        <v>222</v>
      </c>
      <c r="D365" s="408" t="s">
        <v>87</v>
      </c>
      <c r="E365" s="408" t="s">
        <v>61</v>
      </c>
      <c r="F365" s="409" t="s">
        <v>332</v>
      </c>
      <c r="G365" s="410" t="s">
        <v>56</v>
      </c>
      <c r="H365" s="217">
        <f>'прил8 (ведом 24)'!M311</f>
        <v>10.6</v>
      </c>
    </row>
    <row r="366" spans="1:8" ht="18" x14ac:dyDescent="0.35">
      <c r="A366" s="354"/>
      <c r="B366" s="521" t="s">
        <v>335</v>
      </c>
      <c r="C366" s="370" t="s">
        <v>222</v>
      </c>
      <c r="D366" s="372" t="s">
        <v>29</v>
      </c>
      <c r="E366" s="372" t="s">
        <v>42</v>
      </c>
      <c r="F366" s="373" t="s">
        <v>43</v>
      </c>
      <c r="G366" s="410"/>
      <c r="H366" s="217">
        <f>H367</f>
        <v>4722.4069999999992</v>
      </c>
    </row>
    <row r="367" spans="1:8" ht="18" x14ac:dyDescent="0.35">
      <c r="A367" s="354"/>
      <c r="B367" s="521" t="s">
        <v>370</v>
      </c>
      <c r="C367" s="370" t="s">
        <v>222</v>
      </c>
      <c r="D367" s="372" t="s">
        <v>29</v>
      </c>
      <c r="E367" s="372" t="s">
        <v>222</v>
      </c>
      <c r="F367" s="373" t="s">
        <v>43</v>
      </c>
      <c r="G367" s="410"/>
      <c r="H367" s="217">
        <f>H368</f>
        <v>4722.4069999999992</v>
      </c>
    </row>
    <row r="368" spans="1:8" ht="36" x14ac:dyDescent="0.35">
      <c r="A368" s="354"/>
      <c r="B368" s="522" t="s">
        <v>333</v>
      </c>
      <c r="C368" s="370" t="s">
        <v>222</v>
      </c>
      <c r="D368" s="372" t="s">
        <v>29</v>
      </c>
      <c r="E368" s="372" t="s">
        <v>222</v>
      </c>
      <c r="F368" s="373" t="s">
        <v>332</v>
      </c>
      <c r="G368" s="410"/>
      <c r="H368" s="217">
        <f>H370+H369</f>
        <v>4722.4069999999992</v>
      </c>
    </row>
    <row r="369" spans="1:8" ht="36" x14ac:dyDescent="0.35">
      <c r="A369" s="354"/>
      <c r="B369" s="554" t="s">
        <v>53</v>
      </c>
      <c r="C369" s="370" t="s">
        <v>222</v>
      </c>
      <c r="D369" s="372" t="s">
        <v>29</v>
      </c>
      <c r="E369" s="372" t="s">
        <v>222</v>
      </c>
      <c r="F369" s="373" t="s">
        <v>332</v>
      </c>
      <c r="G369" s="410" t="s">
        <v>54</v>
      </c>
      <c r="H369" s="217">
        <f>'прил8 (ведом 24)'!M315+'прил8 (ведом 24)'!M338</f>
        <v>4598.7069999999994</v>
      </c>
    </row>
    <row r="370" spans="1:8" ht="18" x14ac:dyDescent="0.35">
      <c r="A370" s="354"/>
      <c r="B370" s="523" t="s">
        <v>55</v>
      </c>
      <c r="C370" s="370" t="s">
        <v>222</v>
      </c>
      <c r="D370" s="372" t="s">
        <v>29</v>
      </c>
      <c r="E370" s="372" t="s">
        <v>222</v>
      </c>
      <c r="F370" s="373" t="s">
        <v>332</v>
      </c>
      <c r="G370" s="410" t="s">
        <v>56</v>
      </c>
      <c r="H370" s="217">
        <f>'прил8 (ведом 24)'!M316</f>
        <v>123.7</v>
      </c>
    </row>
    <row r="371" spans="1:8" ht="18" x14ac:dyDescent="0.35">
      <c r="A371" s="354"/>
      <c r="B371" s="500"/>
      <c r="C371" s="355"/>
      <c r="D371" s="670"/>
      <c r="E371" s="670"/>
      <c r="F371" s="671"/>
      <c r="G371" s="238"/>
      <c r="H371" s="217"/>
    </row>
    <row r="372" spans="1:8" s="339" customFormat="1" ht="52.2" x14ac:dyDescent="0.3">
      <c r="A372" s="344">
        <v>8</v>
      </c>
      <c r="B372" s="515" t="s">
        <v>291</v>
      </c>
      <c r="C372" s="345" t="s">
        <v>77</v>
      </c>
      <c r="D372" s="345" t="s">
        <v>41</v>
      </c>
      <c r="E372" s="345" t="s">
        <v>42</v>
      </c>
      <c r="F372" s="346" t="s">
        <v>43</v>
      </c>
      <c r="G372" s="338"/>
      <c r="H372" s="251">
        <f>H373</f>
        <v>154333.09999999998</v>
      </c>
    </row>
    <row r="373" spans="1:8" ht="18" x14ac:dyDescent="0.35">
      <c r="A373" s="329"/>
      <c r="B373" s="493" t="s">
        <v>335</v>
      </c>
      <c r="C373" s="381" t="s">
        <v>77</v>
      </c>
      <c r="D373" s="355" t="s">
        <v>44</v>
      </c>
      <c r="E373" s="355" t="s">
        <v>42</v>
      </c>
      <c r="F373" s="210" t="s">
        <v>43</v>
      </c>
      <c r="G373" s="238"/>
      <c r="H373" s="217">
        <f>H374+H389+H395+H405+H408</f>
        <v>154333.09999999998</v>
      </c>
    </row>
    <row r="374" spans="1:8" ht="36" x14ac:dyDescent="0.35">
      <c r="A374" s="329"/>
      <c r="B374" s="493" t="s">
        <v>281</v>
      </c>
      <c r="C374" s="208" t="s">
        <v>77</v>
      </c>
      <c r="D374" s="209" t="s">
        <v>44</v>
      </c>
      <c r="E374" s="209" t="s">
        <v>36</v>
      </c>
      <c r="F374" s="210" t="s">
        <v>43</v>
      </c>
      <c r="G374" s="238"/>
      <c r="H374" s="217">
        <f>H375+H378+H383+H386+H381</f>
        <v>64692.799999999996</v>
      </c>
    </row>
    <row r="375" spans="1:8" ht="126" x14ac:dyDescent="0.35">
      <c r="A375" s="329"/>
      <c r="B375" s="524" t="s">
        <v>353</v>
      </c>
      <c r="C375" s="208" t="s">
        <v>77</v>
      </c>
      <c r="D375" s="209" t="s">
        <v>44</v>
      </c>
      <c r="E375" s="209" t="s">
        <v>36</v>
      </c>
      <c r="F375" s="210" t="s">
        <v>500</v>
      </c>
      <c r="G375" s="33"/>
      <c r="H375" s="217">
        <f>SUM(H376:H377)</f>
        <v>37320.199999999997</v>
      </c>
    </row>
    <row r="376" spans="1:8" ht="36" x14ac:dyDescent="0.35">
      <c r="A376" s="329"/>
      <c r="B376" s="525" t="s">
        <v>53</v>
      </c>
      <c r="C376" s="208" t="s">
        <v>77</v>
      </c>
      <c r="D376" s="209" t="s">
        <v>44</v>
      </c>
      <c r="E376" s="209" t="s">
        <v>36</v>
      </c>
      <c r="F376" s="210" t="s">
        <v>500</v>
      </c>
      <c r="G376" s="33" t="s">
        <v>54</v>
      </c>
      <c r="H376" s="217">
        <f>'прил8 (ведом 24)'!M739</f>
        <v>185.7</v>
      </c>
    </row>
    <row r="377" spans="1:8" ht="18" x14ac:dyDescent="0.35">
      <c r="A377" s="329"/>
      <c r="B377" s="493" t="s">
        <v>118</v>
      </c>
      <c r="C377" s="208" t="s">
        <v>77</v>
      </c>
      <c r="D377" s="209" t="s">
        <v>44</v>
      </c>
      <c r="E377" s="209" t="s">
        <v>36</v>
      </c>
      <c r="F377" s="210" t="s">
        <v>500</v>
      </c>
      <c r="G377" s="33" t="s">
        <v>119</v>
      </c>
      <c r="H377" s="217">
        <f>'прил8 (ведом 24)'!M740</f>
        <v>37134.5</v>
      </c>
    </row>
    <row r="378" spans="1:8" ht="90" x14ac:dyDescent="0.35">
      <c r="A378" s="329"/>
      <c r="B378" s="493" t="s">
        <v>355</v>
      </c>
      <c r="C378" s="208" t="s">
        <v>77</v>
      </c>
      <c r="D378" s="209" t="s">
        <v>44</v>
      </c>
      <c r="E378" s="209" t="s">
        <v>36</v>
      </c>
      <c r="F378" s="210" t="s">
        <v>502</v>
      </c>
      <c r="G378" s="33"/>
      <c r="H378" s="217">
        <f>SUM(H379:H380)</f>
        <v>188.70000000000002</v>
      </c>
    </row>
    <row r="379" spans="1:8" ht="36" x14ac:dyDescent="0.35">
      <c r="A379" s="329"/>
      <c r="B379" s="493" t="s">
        <v>53</v>
      </c>
      <c r="C379" s="208" t="s">
        <v>77</v>
      </c>
      <c r="D379" s="209" t="s">
        <v>44</v>
      </c>
      <c r="E379" s="209" t="s">
        <v>36</v>
      </c>
      <c r="F379" s="210" t="s">
        <v>502</v>
      </c>
      <c r="G379" s="33" t="s">
        <v>54</v>
      </c>
      <c r="H379" s="217">
        <f>'прил8 (ведом 24)'!M742</f>
        <v>0.9</v>
      </c>
    </row>
    <row r="380" spans="1:8" ht="18" x14ac:dyDescent="0.35">
      <c r="A380" s="329"/>
      <c r="B380" s="493" t="s">
        <v>118</v>
      </c>
      <c r="C380" s="208" t="s">
        <v>77</v>
      </c>
      <c r="D380" s="209" t="s">
        <v>44</v>
      </c>
      <c r="E380" s="209" t="s">
        <v>36</v>
      </c>
      <c r="F380" s="210" t="s">
        <v>502</v>
      </c>
      <c r="G380" s="33" t="s">
        <v>119</v>
      </c>
      <c r="H380" s="217">
        <f>'прил8 (ведом 24)'!M743</f>
        <v>187.8</v>
      </c>
    </row>
    <row r="381" spans="1:8" ht="126" x14ac:dyDescent="0.35">
      <c r="A381" s="329"/>
      <c r="B381" s="497" t="s">
        <v>671</v>
      </c>
      <c r="C381" s="676" t="s">
        <v>77</v>
      </c>
      <c r="D381" s="677" t="s">
        <v>44</v>
      </c>
      <c r="E381" s="677" t="s">
        <v>36</v>
      </c>
      <c r="F381" s="678" t="s">
        <v>670</v>
      </c>
      <c r="G381" s="15"/>
      <c r="H381" s="217">
        <f>H382</f>
        <v>142.9</v>
      </c>
    </row>
    <row r="382" spans="1:8" ht="18" x14ac:dyDescent="0.35">
      <c r="A382" s="329"/>
      <c r="B382" s="497" t="s">
        <v>118</v>
      </c>
      <c r="C382" s="676" t="s">
        <v>77</v>
      </c>
      <c r="D382" s="677" t="s">
        <v>44</v>
      </c>
      <c r="E382" s="677" t="s">
        <v>36</v>
      </c>
      <c r="F382" s="678" t="s">
        <v>670</v>
      </c>
      <c r="G382" s="15" t="s">
        <v>119</v>
      </c>
      <c r="H382" s="217">
        <f>'прил8 (ведом 24)'!M745</f>
        <v>142.9</v>
      </c>
    </row>
    <row r="383" spans="1:8" ht="90" x14ac:dyDescent="0.35">
      <c r="A383" s="329"/>
      <c r="B383" s="493" t="s">
        <v>354</v>
      </c>
      <c r="C383" s="208" t="s">
        <v>77</v>
      </c>
      <c r="D383" s="209" t="s">
        <v>44</v>
      </c>
      <c r="E383" s="209" t="s">
        <v>36</v>
      </c>
      <c r="F383" s="210" t="s">
        <v>501</v>
      </c>
      <c r="G383" s="33"/>
      <c r="H383" s="217">
        <f>SUM(H384:H385)</f>
        <v>26856.5</v>
      </c>
    </row>
    <row r="384" spans="1:8" ht="36" x14ac:dyDescent="0.35">
      <c r="A384" s="329"/>
      <c r="B384" s="525" t="s">
        <v>53</v>
      </c>
      <c r="C384" s="208" t="s">
        <v>77</v>
      </c>
      <c r="D384" s="209" t="s">
        <v>44</v>
      </c>
      <c r="E384" s="209" t="s">
        <v>36</v>
      </c>
      <c r="F384" s="210" t="s">
        <v>501</v>
      </c>
      <c r="G384" s="33" t="s">
        <v>54</v>
      </c>
      <c r="H384" s="217">
        <f>'прил8 (ведом 24)'!M747</f>
        <v>134.30000000000001</v>
      </c>
    </row>
    <row r="385" spans="1:8" ht="18" x14ac:dyDescent="0.35">
      <c r="A385" s="329"/>
      <c r="B385" s="493" t="s">
        <v>118</v>
      </c>
      <c r="C385" s="208" t="s">
        <v>77</v>
      </c>
      <c r="D385" s="209" t="s">
        <v>44</v>
      </c>
      <c r="E385" s="209" t="s">
        <v>36</v>
      </c>
      <c r="F385" s="210" t="s">
        <v>501</v>
      </c>
      <c r="G385" s="33" t="s">
        <v>119</v>
      </c>
      <c r="H385" s="217">
        <f>'прил8 (ведом 24)'!M748</f>
        <v>26722.2</v>
      </c>
    </row>
    <row r="386" spans="1:8" ht="108" x14ac:dyDescent="0.35">
      <c r="A386" s="329"/>
      <c r="B386" s="493" t="s">
        <v>361</v>
      </c>
      <c r="C386" s="208" t="s">
        <v>77</v>
      </c>
      <c r="D386" s="209" t="s">
        <v>44</v>
      </c>
      <c r="E386" s="209" t="s">
        <v>36</v>
      </c>
      <c r="F386" s="210" t="s">
        <v>503</v>
      </c>
      <c r="G386" s="33"/>
      <c r="H386" s="217">
        <f>SUM(H387:H388)</f>
        <v>184.5</v>
      </c>
    </row>
    <row r="387" spans="1:8" ht="36" x14ac:dyDescent="0.35">
      <c r="A387" s="329"/>
      <c r="B387" s="493" t="s">
        <v>53</v>
      </c>
      <c r="C387" s="208" t="s">
        <v>77</v>
      </c>
      <c r="D387" s="209" t="s">
        <v>44</v>
      </c>
      <c r="E387" s="209" t="s">
        <v>36</v>
      </c>
      <c r="F387" s="210" t="s">
        <v>503</v>
      </c>
      <c r="G387" s="33" t="s">
        <v>54</v>
      </c>
      <c r="H387" s="217">
        <f>'прил8 (ведом 24)'!M750</f>
        <v>0.9</v>
      </c>
    </row>
    <row r="388" spans="1:8" ht="18" x14ac:dyDescent="0.35">
      <c r="A388" s="329"/>
      <c r="B388" s="493" t="s">
        <v>118</v>
      </c>
      <c r="C388" s="208" t="s">
        <v>77</v>
      </c>
      <c r="D388" s="209" t="s">
        <v>44</v>
      </c>
      <c r="E388" s="209" t="s">
        <v>36</v>
      </c>
      <c r="F388" s="210" t="s">
        <v>503</v>
      </c>
      <c r="G388" s="33" t="s">
        <v>119</v>
      </c>
      <c r="H388" s="217">
        <f>'прил8 (ведом 24)'!M751</f>
        <v>183.6</v>
      </c>
    </row>
    <row r="389" spans="1:8" ht="72" x14ac:dyDescent="0.35">
      <c r="A389" s="329"/>
      <c r="B389" s="550" t="s">
        <v>296</v>
      </c>
      <c r="C389" s="104" t="s">
        <v>77</v>
      </c>
      <c r="D389" s="105" t="s">
        <v>44</v>
      </c>
      <c r="E389" s="105" t="s">
        <v>38</v>
      </c>
      <c r="F389" s="105" t="s">
        <v>43</v>
      </c>
      <c r="G389" s="33"/>
      <c r="H389" s="217">
        <f>H390+H393</f>
        <v>76001</v>
      </c>
    </row>
    <row r="390" spans="1:8" ht="90" x14ac:dyDescent="0.35">
      <c r="A390" s="329"/>
      <c r="B390" s="523" t="s">
        <v>690</v>
      </c>
      <c r="C390" s="413" t="s">
        <v>77</v>
      </c>
      <c r="D390" s="414" t="s">
        <v>44</v>
      </c>
      <c r="E390" s="414" t="s">
        <v>38</v>
      </c>
      <c r="F390" s="415" t="s">
        <v>601</v>
      </c>
      <c r="G390" s="416"/>
      <c r="H390" s="217">
        <f>SUM(H391:H392)</f>
        <v>70376.7</v>
      </c>
    </row>
    <row r="391" spans="1:8" ht="36" x14ac:dyDescent="0.35">
      <c r="A391" s="329"/>
      <c r="B391" s="493" t="s">
        <v>53</v>
      </c>
      <c r="C391" s="413" t="s">
        <v>77</v>
      </c>
      <c r="D391" s="414" t="s">
        <v>44</v>
      </c>
      <c r="E391" s="414" t="s">
        <v>38</v>
      </c>
      <c r="F391" s="415" t="s">
        <v>601</v>
      </c>
      <c r="G391" s="416" t="s">
        <v>54</v>
      </c>
      <c r="H391" s="217">
        <f>'прил8 (ведом 24)'!M321</f>
        <v>73.421899999999994</v>
      </c>
    </row>
    <row r="392" spans="1:8" ht="36" x14ac:dyDescent="0.35">
      <c r="A392" s="329"/>
      <c r="B392" s="503" t="s">
        <v>200</v>
      </c>
      <c r="C392" s="137" t="s">
        <v>77</v>
      </c>
      <c r="D392" s="138" t="s">
        <v>44</v>
      </c>
      <c r="E392" s="138" t="s">
        <v>38</v>
      </c>
      <c r="F392" s="473" t="s">
        <v>601</v>
      </c>
      <c r="G392" s="474" t="s">
        <v>201</v>
      </c>
      <c r="H392" s="217">
        <f>'прил8 (ведом 24)'!M375</f>
        <v>70303.278099999996</v>
      </c>
    </row>
    <row r="393" spans="1:8" ht="90" x14ac:dyDescent="0.35">
      <c r="A393" s="329"/>
      <c r="B393" s="540" t="s">
        <v>690</v>
      </c>
      <c r="C393" s="86" t="s">
        <v>77</v>
      </c>
      <c r="D393" s="87" t="s">
        <v>44</v>
      </c>
      <c r="E393" s="87" t="s">
        <v>38</v>
      </c>
      <c r="F393" s="108" t="s">
        <v>513</v>
      </c>
      <c r="G393" s="134"/>
      <c r="H393" s="217">
        <f>H394</f>
        <v>5624.3</v>
      </c>
    </row>
    <row r="394" spans="1:8" ht="36" x14ac:dyDescent="0.35">
      <c r="A394" s="329"/>
      <c r="B394" s="554" t="s">
        <v>200</v>
      </c>
      <c r="C394" s="86" t="s">
        <v>77</v>
      </c>
      <c r="D394" s="87" t="s">
        <v>44</v>
      </c>
      <c r="E394" s="87" t="s">
        <v>38</v>
      </c>
      <c r="F394" s="108" t="s">
        <v>513</v>
      </c>
      <c r="G394" s="608" t="s">
        <v>201</v>
      </c>
      <c r="H394" s="217">
        <f>'прил8 (ведом 24)'!M377</f>
        <v>5624.3</v>
      </c>
    </row>
    <row r="395" spans="1:8" ht="36" x14ac:dyDescent="0.35">
      <c r="A395" s="329"/>
      <c r="B395" s="493" t="s">
        <v>225</v>
      </c>
      <c r="C395" s="208" t="s">
        <v>77</v>
      </c>
      <c r="D395" s="209" t="s">
        <v>44</v>
      </c>
      <c r="E395" s="209" t="s">
        <v>61</v>
      </c>
      <c r="F395" s="210" t="s">
        <v>43</v>
      </c>
      <c r="G395" s="33"/>
      <c r="H395" s="217">
        <f>H396+H399+H402</f>
        <v>9013.2999999999993</v>
      </c>
    </row>
    <row r="396" spans="1:8" ht="234" x14ac:dyDescent="0.35">
      <c r="A396" s="329"/>
      <c r="B396" s="493" t="s">
        <v>228</v>
      </c>
      <c r="C396" s="208" t="s">
        <v>77</v>
      </c>
      <c r="D396" s="209" t="s">
        <v>44</v>
      </c>
      <c r="E396" s="209" t="s">
        <v>61</v>
      </c>
      <c r="F396" s="210" t="s">
        <v>504</v>
      </c>
      <c r="G396" s="33"/>
      <c r="H396" s="217">
        <f>SUM(H397:H398)</f>
        <v>1025.8</v>
      </c>
    </row>
    <row r="397" spans="1:8" ht="90" x14ac:dyDescent="0.35">
      <c r="A397" s="329"/>
      <c r="B397" s="493" t="s">
        <v>48</v>
      </c>
      <c r="C397" s="208" t="s">
        <v>77</v>
      </c>
      <c r="D397" s="209" t="s">
        <v>44</v>
      </c>
      <c r="E397" s="209" t="s">
        <v>61</v>
      </c>
      <c r="F397" s="210" t="s">
        <v>504</v>
      </c>
      <c r="G397" s="33" t="s">
        <v>49</v>
      </c>
      <c r="H397" s="217">
        <f>'прил8 (ведом 24)'!M757</f>
        <v>863.8</v>
      </c>
    </row>
    <row r="398" spans="1:8" ht="36" x14ac:dyDescent="0.35">
      <c r="A398" s="329"/>
      <c r="B398" s="493" t="s">
        <v>53</v>
      </c>
      <c r="C398" s="208" t="s">
        <v>77</v>
      </c>
      <c r="D398" s="209" t="s">
        <v>44</v>
      </c>
      <c r="E398" s="209" t="s">
        <v>61</v>
      </c>
      <c r="F398" s="210" t="s">
        <v>504</v>
      </c>
      <c r="G398" s="33" t="s">
        <v>54</v>
      </c>
      <c r="H398" s="217">
        <f>'прил8 (ведом 24)'!M758</f>
        <v>162</v>
      </c>
    </row>
    <row r="399" spans="1:8" ht="90" x14ac:dyDescent="0.35">
      <c r="A399" s="329"/>
      <c r="B399" s="491" t="s">
        <v>449</v>
      </c>
      <c r="C399" s="208" t="s">
        <v>77</v>
      </c>
      <c r="D399" s="209" t="s">
        <v>44</v>
      </c>
      <c r="E399" s="209" t="s">
        <v>61</v>
      </c>
      <c r="F399" s="210" t="s">
        <v>498</v>
      </c>
      <c r="G399" s="33"/>
      <c r="H399" s="217">
        <f>SUM(H400:H401)</f>
        <v>756</v>
      </c>
    </row>
    <row r="400" spans="1:8" ht="90" x14ac:dyDescent="0.35">
      <c r="A400" s="329"/>
      <c r="B400" s="493" t="s">
        <v>48</v>
      </c>
      <c r="C400" s="208" t="s">
        <v>77</v>
      </c>
      <c r="D400" s="209" t="s">
        <v>44</v>
      </c>
      <c r="E400" s="209" t="s">
        <v>61</v>
      </c>
      <c r="F400" s="210" t="s">
        <v>498</v>
      </c>
      <c r="G400" s="33" t="s">
        <v>49</v>
      </c>
      <c r="H400" s="217">
        <f>'прил8 (ведом 24)'!M760</f>
        <v>675</v>
      </c>
    </row>
    <row r="401" spans="1:8" ht="36" x14ac:dyDescent="0.35">
      <c r="A401" s="329"/>
      <c r="B401" s="493" t="s">
        <v>53</v>
      </c>
      <c r="C401" s="208" t="s">
        <v>77</v>
      </c>
      <c r="D401" s="209" t="s">
        <v>44</v>
      </c>
      <c r="E401" s="209" t="s">
        <v>61</v>
      </c>
      <c r="F401" s="210" t="s">
        <v>498</v>
      </c>
      <c r="G401" s="33" t="s">
        <v>54</v>
      </c>
      <c r="H401" s="217">
        <f>'прил8 (ведом 24)'!M761</f>
        <v>81</v>
      </c>
    </row>
    <row r="402" spans="1:8" ht="72" x14ac:dyDescent="0.35">
      <c r="A402" s="329"/>
      <c r="B402" s="493" t="s">
        <v>227</v>
      </c>
      <c r="C402" s="208" t="s">
        <v>77</v>
      </c>
      <c r="D402" s="209" t="s">
        <v>44</v>
      </c>
      <c r="E402" s="209" t="s">
        <v>61</v>
      </c>
      <c r="F402" s="210" t="s">
        <v>499</v>
      </c>
      <c r="G402" s="33"/>
      <c r="H402" s="217">
        <f>H403+H404</f>
        <v>7231.5</v>
      </c>
    </row>
    <row r="403" spans="1:8" ht="90" x14ac:dyDescent="0.35">
      <c r="A403" s="329"/>
      <c r="B403" s="493" t="s">
        <v>48</v>
      </c>
      <c r="C403" s="208" t="s">
        <v>77</v>
      </c>
      <c r="D403" s="209" t="s">
        <v>44</v>
      </c>
      <c r="E403" s="209" t="s">
        <v>61</v>
      </c>
      <c r="F403" s="210" t="s">
        <v>499</v>
      </c>
      <c r="G403" s="33" t="s">
        <v>49</v>
      </c>
      <c r="H403" s="217">
        <f>'прил8 (ведом 24)'!M763</f>
        <v>6502.5</v>
      </c>
    </row>
    <row r="404" spans="1:8" ht="36" x14ac:dyDescent="0.35">
      <c r="A404" s="329"/>
      <c r="B404" s="493" t="s">
        <v>53</v>
      </c>
      <c r="C404" s="426" t="s">
        <v>77</v>
      </c>
      <c r="D404" s="427" t="s">
        <v>44</v>
      </c>
      <c r="E404" s="427" t="s">
        <v>61</v>
      </c>
      <c r="F404" s="428" t="s">
        <v>499</v>
      </c>
      <c r="G404" s="33" t="s">
        <v>54</v>
      </c>
      <c r="H404" s="217">
        <f>'прил8 (ведом 24)'!M764</f>
        <v>729</v>
      </c>
    </row>
    <row r="405" spans="1:8" ht="72" x14ac:dyDescent="0.35">
      <c r="A405" s="354"/>
      <c r="B405" s="509" t="s">
        <v>438</v>
      </c>
      <c r="C405" s="208" t="s">
        <v>77</v>
      </c>
      <c r="D405" s="209" t="s">
        <v>44</v>
      </c>
      <c r="E405" s="209" t="s">
        <v>50</v>
      </c>
      <c r="F405" s="210" t="s">
        <v>43</v>
      </c>
      <c r="G405" s="33"/>
      <c r="H405" s="217">
        <f>H406</f>
        <v>1846.5</v>
      </c>
    </row>
    <row r="406" spans="1:8" ht="72" x14ac:dyDescent="0.35">
      <c r="A406" s="354"/>
      <c r="B406" s="509" t="s">
        <v>434</v>
      </c>
      <c r="C406" s="208" t="s">
        <v>77</v>
      </c>
      <c r="D406" s="209" t="s">
        <v>44</v>
      </c>
      <c r="E406" s="209" t="s">
        <v>50</v>
      </c>
      <c r="F406" s="210" t="s">
        <v>352</v>
      </c>
      <c r="G406" s="33"/>
      <c r="H406" s="217">
        <f>H407</f>
        <v>1846.5</v>
      </c>
    </row>
    <row r="407" spans="1:8" ht="18" x14ac:dyDescent="0.35">
      <c r="A407" s="354"/>
      <c r="B407" s="496" t="s">
        <v>118</v>
      </c>
      <c r="C407" s="208" t="s">
        <v>77</v>
      </c>
      <c r="D407" s="209" t="s">
        <v>44</v>
      </c>
      <c r="E407" s="209" t="s">
        <v>50</v>
      </c>
      <c r="F407" s="210" t="s">
        <v>352</v>
      </c>
      <c r="G407" s="33" t="s">
        <v>119</v>
      </c>
      <c r="H407" s="217">
        <f>'прил8 (ведом 24)'!M187</f>
        <v>1846.5</v>
      </c>
    </row>
    <row r="408" spans="1:8" ht="36" x14ac:dyDescent="0.35">
      <c r="A408" s="354"/>
      <c r="B408" s="502" t="s">
        <v>681</v>
      </c>
      <c r="C408" s="676" t="s">
        <v>77</v>
      </c>
      <c r="D408" s="677" t="s">
        <v>44</v>
      </c>
      <c r="E408" s="677" t="s">
        <v>222</v>
      </c>
      <c r="F408" s="678" t="s">
        <v>43</v>
      </c>
      <c r="G408" s="15"/>
      <c r="H408" s="217">
        <f>H409</f>
        <v>2779.5</v>
      </c>
    </row>
    <row r="409" spans="1:8" ht="36" x14ac:dyDescent="0.35">
      <c r="A409" s="354"/>
      <c r="B409" s="502" t="s">
        <v>682</v>
      </c>
      <c r="C409" s="676" t="s">
        <v>77</v>
      </c>
      <c r="D409" s="677" t="s">
        <v>44</v>
      </c>
      <c r="E409" s="677" t="s">
        <v>222</v>
      </c>
      <c r="F409" s="678" t="s">
        <v>683</v>
      </c>
      <c r="G409" s="15"/>
      <c r="H409" s="217">
        <f>H410</f>
        <v>2779.5</v>
      </c>
    </row>
    <row r="410" spans="1:8" ht="18" x14ac:dyDescent="0.35">
      <c r="A410" s="354"/>
      <c r="B410" s="496" t="s">
        <v>118</v>
      </c>
      <c r="C410" s="676" t="s">
        <v>77</v>
      </c>
      <c r="D410" s="677" t="s">
        <v>44</v>
      </c>
      <c r="E410" s="677" t="s">
        <v>222</v>
      </c>
      <c r="F410" s="678" t="s">
        <v>683</v>
      </c>
      <c r="G410" s="15" t="s">
        <v>119</v>
      </c>
      <c r="H410" s="217">
        <f>'прил8 (ведом 24)'!M193</f>
        <v>2779.5</v>
      </c>
    </row>
    <row r="411" spans="1:8" ht="18" x14ac:dyDescent="0.35">
      <c r="A411" s="354"/>
      <c r="B411" s="496"/>
      <c r="C411" s="209"/>
      <c r="D411" s="209"/>
      <c r="E411" s="209"/>
      <c r="F411" s="210"/>
      <c r="G411" s="33"/>
      <c r="H411" s="217"/>
    </row>
    <row r="412" spans="1:8" ht="69.599999999999994" x14ac:dyDescent="0.3">
      <c r="A412" s="344">
        <v>9</v>
      </c>
      <c r="B412" s="505" t="s">
        <v>328</v>
      </c>
      <c r="C412" s="345" t="s">
        <v>102</v>
      </c>
      <c r="D412" s="345" t="s">
        <v>41</v>
      </c>
      <c r="E412" s="345" t="s">
        <v>42</v>
      </c>
      <c r="F412" s="346" t="s">
        <v>43</v>
      </c>
      <c r="G412" s="387"/>
      <c r="H412" s="251">
        <f>H413+H417+H421</f>
        <v>103330.1</v>
      </c>
    </row>
    <row r="413" spans="1:8" ht="36" x14ac:dyDescent="0.35">
      <c r="A413" s="344"/>
      <c r="B413" s="493" t="s">
        <v>330</v>
      </c>
      <c r="C413" s="208" t="s">
        <v>102</v>
      </c>
      <c r="D413" s="209" t="s">
        <v>44</v>
      </c>
      <c r="E413" s="209" t="s">
        <v>42</v>
      </c>
      <c r="F413" s="210" t="s">
        <v>43</v>
      </c>
      <c r="G413" s="33"/>
      <c r="H413" s="217">
        <f>H414</f>
        <v>97055</v>
      </c>
    </row>
    <row r="414" spans="1:8" ht="54" x14ac:dyDescent="0.35">
      <c r="A414" s="344"/>
      <c r="B414" s="494" t="s">
        <v>369</v>
      </c>
      <c r="C414" s="208" t="s">
        <v>102</v>
      </c>
      <c r="D414" s="209" t="s">
        <v>44</v>
      </c>
      <c r="E414" s="209" t="s">
        <v>36</v>
      </c>
      <c r="F414" s="210" t="s">
        <v>43</v>
      </c>
      <c r="G414" s="33"/>
      <c r="H414" s="217">
        <f>H415</f>
        <v>97055</v>
      </c>
    </row>
    <row r="415" spans="1:8" ht="54" x14ac:dyDescent="0.35">
      <c r="A415" s="344"/>
      <c r="B415" s="526" t="s">
        <v>475</v>
      </c>
      <c r="C415" s="340" t="s">
        <v>102</v>
      </c>
      <c r="D415" s="341" t="s">
        <v>44</v>
      </c>
      <c r="E415" s="341" t="s">
        <v>36</v>
      </c>
      <c r="F415" s="342" t="s">
        <v>409</v>
      </c>
      <c r="G415" s="418"/>
      <c r="H415" s="217">
        <f>SUM(H416:H416)</f>
        <v>97055</v>
      </c>
    </row>
    <row r="416" spans="1:8" ht="36" x14ac:dyDescent="0.35">
      <c r="A416" s="417"/>
      <c r="B416" s="527" t="s">
        <v>200</v>
      </c>
      <c r="C416" s="361" t="s">
        <v>102</v>
      </c>
      <c r="D416" s="362" t="s">
        <v>44</v>
      </c>
      <c r="E416" s="362" t="s">
        <v>36</v>
      </c>
      <c r="F416" s="477" t="s">
        <v>409</v>
      </c>
      <c r="G416" s="420" t="s">
        <v>201</v>
      </c>
      <c r="H416" s="419">
        <f>'прил8 (ведом 24)'!M345</f>
        <v>97055</v>
      </c>
    </row>
    <row r="417" spans="1:8" ht="36" x14ac:dyDescent="0.35">
      <c r="A417" s="417"/>
      <c r="B417" s="578" t="s">
        <v>534</v>
      </c>
      <c r="C417" s="676" t="s">
        <v>102</v>
      </c>
      <c r="D417" s="677" t="s">
        <v>33</v>
      </c>
      <c r="E417" s="677" t="s">
        <v>42</v>
      </c>
      <c r="F417" s="678" t="s">
        <v>43</v>
      </c>
      <c r="G417" s="15"/>
      <c r="H417" s="419">
        <f>H418</f>
        <v>6131.1</v>
      </c>
    </row>
    <row r="418" spans="1:8" ht="36" x14ac:dyDescent="0.35">
      <c r="A418" s="417"/>
      <c r="B418" s="578" t="s">
        <v>535</v>
      </c>
      <c r="C418" s="676" t="s">
        <v>102</v>
      </c>
      <c r="D418" s="677" t="s">
        <v>33</v>
      </c>
      <c r="E418" s="677" t="s">
        <v>36</v>
      </c>
      <c r="F418" s="678" t="s">
        <v>43</v>
      </c>
      <c r="G418" s="15"/>
      <c r="H418" s="419">
        <f>H419</f>
        <v>6131.1</v>
      </c>
    </row>
    <row r="419" spans="1:8" ht="36" x14ac:dyDescent="0.35">
      <c r="A419" s="417"/>
      <c r="B419" s="578" t="s">
        <v>536</v>
      </c>
      <c r="C419" s="676" t="s">
        <v>102</v>
      </c>
      <c r="D419" s="677" t="s">
        <v>33</v>
      </c>
      <c r="E419" s="677" t="s">
        <v>36</v>
      </c>
      <c r="F419" s="678" t="s">
        <v>537</v>
      </c>
      <c r="G419" s="15"/>
      <c r="H419" s="419">
        <f>H420</f>
        <v>6131.1</v>
      </c>
    </row>
    <row r="420" spans="1:8" ht="36" x14ac:dyDescent="0.35">
      <c r="A420" s="417"/>
      <c r="B420" s="578" t="s">
        <v>53</v>
      </c>
      <c r="C420" s="676" t="s">
        <v>102</v>
      </c>
      <c r="D420" s="677" t="s">
        <v>33</v>
      </c>
      <c r="E420" s="677" t="s">
        <v>36</v>
      </c>
      <c r="F420" s="678" t="s">
        <v>537</v>
      </c>
      <c r="G420" s="15" t="s">
        <v>54</v>
      </c>
      <c r="H420" s="419">
        <f>'прил8 (ведом 24)'!M170</f>
        <v>6131.1</v>
      </c>
    </row>
    <row r="421" spans="1:8" ht="36" x14ac:dyDescent="0.35">
      <c r="A421" s="417"/>
      <c r="B421" s="662" t="s">
        <v>686</v>
      </c>
      <c r="C421" s="676" t="s">
        <v>102</v>
      </c>
      <c r="D421" s="677" t="s">
        <v>629</v>
      </c>
      <c r="E421" s="677" t="s">
        <v>42</v>
      </c>
      <c r="F421" s="678" t="s">
        <v>43</v>
      </c>
      <c r="G421" s="420"/>
      <c r="H421" s="419">
        <f>H422</f>
        <v>144</v>
      </c>
    </row>
    <row r="422" spans="1:8" ht="36" x14ac:dyDescent="0.35">
      <c r="A422" s="417"/>
      <c r="B422" s="578" t="s">
        <v>687</v>
      </c>
      <c r="C422" s="676" t="s">
        <v>102</v>
      </c>
      <c r="D422" s="677" t="s">
        <v>629</v>
      </c>
      <c r="E422" s="677" t="s">
        <v>36</v>
      </c>
      <c r="F422" s="678" t="s">
        <v>43</v>
      </c>
      <c r="G422" s="15"/>
      <c r="H422" s="419">
        <f>H423</f>
        <v>144</v>
      </c>
    </row>
    <row r="423" spans="1:8" ht="54" x14ac:dyDescent="0.35">
      <c r="A423" s="417"/>
      <c r="B423" s="578" t="s">
        <v>688</v>
      </c>
      <c r="C423" s="676" t="s">
        <v>102</v>
      </c>
      <c r="D423" s="677" t="s">
        <v>629</v>
      </c>
      <c r="E423" s="677" t="s">
        <v>36</v>
      </c>
      <c r="F423" s="678" t="s">
        <v>689</v>
      </c>
      <c r="G423" s="15"/>
      <c r="H423" s="419">
        <f>H424</f>
        <v>144</v>
      </c>
    </row>
    <row r="424" spans="1:8" ht="36" x14ac:dyDescent="0.35">
      <c r="A424" s="417"/>
      <c r="B424" s="578" t="s">
        <v>53</v>
      </c>
      <c r="C424" s="676" t="s">
        <v>102</v>
      </c>
      <c r="D424" s="677" t="s">
        <v>629</v>
      </c>
      <c r="E424" s="677" t="s">
        <v>36</v>
      </c>
      <c r="F424" s="678" t="s">
        <v>689</v>
      </c>
      <c r="G424" s="15" t="s">
        <v>54</v>
      </c>
      <c r="H424" s="419">
        <v>144</v>
      </c>
    </row>
    <row r="425" spans="1:8" ht="18" x14ac:dyDescent="0.35">
      <c r="A425" s="417"/>
      <c r="B425" s="494"/>
      <c r="C425" s="209"/>
      <c r="D425" s="209"/>
      <c r="E425" s="209"/>
      <c r="F425" s="210"/>
      <c r="G425" s="33"/>
      <c r="H425" s="419"/>
    </row>
    <row r="426" spans="1:8" s="339" customFormat="1" ht="52.2" x14ac:dyDescent="0.3">
      <c r="A426" s="344">
        <v>10</v>
      </c>
      <c r="B426" s="505" t="s">
        <v>92</v>
      </c>
      <c r="C426" s="345" t="s">
        <v>65</v>
      </c>
      <c r="D426" s="345" t="s">
        <v>41</v>
      </c>
      <c r="E426" s="345" t="s">
        <v>42</v>
      </c>
      <c r="F426" s="346" t="s">
        <v>43</v>
      </c>
      <c r="G426" s="387"/>
      <c r="H426" s="251">
        <f>H427</f>
        <v>24038.799999999999</v>
      </c>
    </row>
    <row r="427" spans="1:8" ht="18" x14ac:dyDescent="0.35">
      <c r="A427" s="329"/>
      <c r="B427" s="493" t="s">
        <v>335</v>
      </c>
      <c r="C427" s="208" t="s">
        <v>65</v>
      </c>
      <c r="D427" s="209" t="s">
        <v>44</v>
      </c>
      <c r="E427" s="209" t="s">
        <v>42</v>
      </c>
      <c r="F427" s="210" t="s">
        <v>43</v>
      </c>
      <c r="G427" s="350"/>
      <c r="H427" s="217">
        <f>H428+H431</f>
        <v>24038.799999999999</v>
      </c>
    </row>
    <row r="428" spans="1:8" ht="36" x14ac:dyDescent="0.35">
      <c r="A428" s="329"/>
      <c r="B428" s="493" t="s">
        <v>93</v>
      </c>
      <c r="C428" s="208" t="s">
        <v>65</v>
      </c>
      <c r="D428" s="209" t="s">
        <v>44</v>
      </c>
      <c r="E428" s="209" t="s">
        <v>36</v>
      </c>
      <c r="F428" s="210" t="s">
        <v>43</v>
      </c>
      <c r="G428" s="350"/>
      <c r="H428" s="217">
        <f>H429</f>
        <v>20740</v>
      </c>
    </row>
    <row r="429" spans="1:8" ht="54" x14ac:dyDescent="0.35">
      <c r="A429" s="329"/>
      <c r="B429" s="528" t="s">
        <v>404</v>
      </c>
      <c r="C429" s="208" t="s">
        <v>65</v>
      </c>
      <c r="D429" s="209" t="s">
        <v>44</v>
      </c>
      <c r="E429" s="209" t="s">
        <v>36</v>
      </c>
      <c r="F429" s="210" t="s">
        <v>59</v>
      </c>
      <c r="G429" s="33"/>
      <c r="H429" s="217">
        <f>H430</f>
        <v>20740</v>
      </c>
    </row>
    <row r="430" spans="1:8" ht="18" x14ac:dyDescent="0.35">
      <c r="A430" s="329"/>
      <c r="B430" s="493" t="s">
        <v>55</v>
      </c>
      <c r="C430" s="208" t="s">
        <v>65</v>
      </c>
      <c r="D430" s="209" t="s">
        <v>44</v>
      </c>
      <c r="E430" s="209" t="s">
        <v>36</v>
      </c>
      <c r="F430" s="210" t="s">
        <v>59</v>
      </c>
      <c r="G430" s="33" t="s">
        <v>56</v>
      </c>
      <c r="H430" s="217">
        <f>'прил8 (ведом 24)'!M134</f>
        <v>20740</v>
      </c>
    </row>
    <row r="431" spans="1:8" ht="54" x14ac:dyDescent="0.35">
      <c r="A431" s="329"/>
      <c r="B431" s="493" t="s">
        <v>94</v>
      </c>
      <c r="C431" s="208" t="s">
        <v>65</v>
      </c>
      <c r="D431" s="209" t="s">
        <v>44</v>
      </c>
      <c r="E431" s="209" t="s">
        <v>38</v>
      </c>
      <c r="F431" s="210" t="s">
        <v>43</v>
      </c>
      <c r="G431" s="33"/>
      <c r="H431" s="217">
        <f>H432</f>
        <v>3298.8</v>
      </c>
    </row>
    <row r="432" spans="1:8" ht="162" x14ac:dyDescent="0.35">
      <c r="A432" s="329"/>
      <c r="B432" s="494" t="s">
        <v>492</v>
      </c>
      <c r="C432" s="208" t="s">
        <v>65</v>
      </c>
      <c r="D432" s="209" t="s">
        <v>44</v>
      </c>
      <c r="E432" s="209" t="s">
        <v>38</v>
      </c>
      <c r="F432" s="210" t="s">
        <v>95</v>
      </c>
      <c r="G432" s="33"/>
      <c r="H432" s="217">
        <f>H433</f>
        <v>3298.8</v>
      </c>
    </row>
    <row r="433" spans="1:8" ht="36" x14ac:dyDescent="0.35">
      <c r="A433" s="329"/>
      <c r="B433" s="493" t="s">
        <v>53</v>
      </c>
      <c r="C433" s="208" t="s">
        <v>65</v>
      </c>
      <c r="D433" s="209" t="s">
        <v>44</v>
      </c>
      <c r="E433" s="209" t="s">
        <v>38</v>
      </c>
      <c r="F433" s="210" t="s">
        <v>95</v>
      </c>
      <c r="G433" s="33" t="s">
        <v>54</v>
      </c>
      <c r="H433" s="217">
        <f>'прил8 (ведом 24)'!M137</f>
        <v>3298.8</v>
      </c>
    </row>
    <row r="434" spans="1:8" ht="18" x14ac:dyDescent="0.35">
      <c r="A434" s="329"/>
      <c r="B434" s="500"/>
      <c r="C434" s="670"/>
      <c r="D434" s="670"/>
      <c r="E434" s="670"/>
      <c r="F434" s="671"/>
      <c r="G434" s="238"/>
      <c r="H434" s="217"/>
    </row>
    <row r="435" spans="1:8" s="339" customFormat="1" ht="52.2" x14ac:dyDescent="0.3">
      <c r="A435" s="344">
        <v>11</v>
      </c>
      <c r="B435" s="505" t="s">
        <v>97</v>
      </c>
      <c r="C435" s="345" t="s">
        <v>98</v>
      </c>
      <c r="D435" s="345" t="s">
        <v>41</v>
      </c>
      <c r="E435" s="345" t="s">
        <v>42</v>
      </c>
      <c r="F435" s="346" t="s">
        <v>43</v>
      </c>
      <c r="G435" s="338"/>
      <c r="H435" s="251">
        <f>H436</f>
        <v>10949.71689</v>
      </c>
    </row>
    <row r="436" spans="1:8" s="339" customFormat="1" ht="18" x14ac:dyDescent="0.35">
      <c r="A436" s="329"/>
      <c r="B436" s="493" t="s">
        <v>335</v>
      </c>
      <c r="C436" s="208" t="s">
        <v>98</v>
      </c>
      <c r="D436" s="209" t="s">
        <v>44</v>
      </c>
      <c r="E436" s="209" t="s">
        <v>42</v>
      </c>
      <c r="F436" s="210" t="s">
        <v>43</v>
      </c>
      <c r="G436" s="33"/>
      <c r="H436" s="217">
        <f>H437</f>
        <v>10949.71689</v>
      </c>
    </row>
    <row r="437" spans="1:8" s="339" customFormat="1" ht="72" x14ac:dyDescent="0.35">
      <c r="A437" s="329"/>
      <c r="B437" s="493" t="s">
        <v>99</v>
      </c>
      <c r="C437" s="208" t="s">
        <v>98</v>
      </c>
      <c r="D437" s="209" t="s">
        <v>44</v>
      </c>
      <c r="E437" s="209" t="s">
        <v>36</v>
      </c>
      <c r="F437" s="210" t="s">
        <v>43</v>
      </c>
      <c r="G437" s="33"/>
      <c r="H437" s="217">
        <f>H438</f>
        <v>10949.71689</v>
      </c>
    </row>
    <row r="438" spans="1:8" s="339" customFormat="1" ht="72" x14ac:dyDescent="0.35">
      <c r="A438" s="329"/>
      <c r="B438" s="501" t="s">
        <v>100</v>
      </c>
      <c r="C438" s="208" t="s">
        <v>98</v>
      </c>
      <c r="D438" s="209" t="s">
        <v>44</v>
      </c>
      <c r="E438" s="209" t="s">
        <v>36</v>
      </c>
      <c r="F438" s="210" t="s">
        <v>101</v>
      </c>
      <c r="G438" s="33"/>
      <c r="H438" s="217">
        <f>H439</f>
        <v>10949.71689</v>
      </c>
    </row>
    <row r="439" spans="1:8" ht="36" x14ac:dyDescent="0.35">
      <c r="A439" s="329"/>
      <c r="B439" s="493" t="s">
        <v>53</v>
      </c>
      <c r="C439" s="208" t="s">
        <v>98</v>
      </c>
      <c r="D439" s="209" t="s">
        <v>44</v>
      </c>
      <c r="E439" s="209" t="s">
        <v>36</v>
      </c>
      <c r="F439" s="210" t="s">
        <v>101</v>
      </c>
      <c r="G439" s="33" t="s">
        <v>54</v>
      </c>
      <c r="H439" s="217">
        <f>'прил8 (ведом 24)'!M143</f>
        <v>10949.71689</v>
      </c>
    </row>
    <row r="440" spans="1:8" ht="18" x14ac:dyDescent="0.35">
      <c r="A440" s="329"/>
      <c r="B440" s="500"/>
      <c r="C440" s="670"/>
      <c r="D440" s="670"/>
      <c r="E440" s="670"/>
      <c r="F440" s="671"/>
      <c r="G440" s="238"/>
      <c r="H440" s="217"/>
    </row>
    <row r="441" spans="1:8" s="339" customFormat="1" ht="52.2" x14ac:dyDescent="0.3">
      <c r="A441" s="344">
        <v>12</v>
      </c>
      <c r="B441" s="505" t="s">
        <v>105</v>
      </c>
      <c r="C441" s="345" t="s">
        <v>69</v>
      </c>
      <c r="D441" s="345" t="s">
        <v>41</v>
      </c>
      <c r="E441" s="345" t="s">
        <v>42</v>
      </c>
      <c r="F441" s="346" t="s">
        <v>43</v>
      </c>
      <c r="G441" s="338"/>
      <c r="H441" s="251">
        <f>H442+H446</f>
        <v>1076.0999999999999</v>
      </c>
    </row>
    <row r="442" spans="1:8" s="339" customFormat="1" ht="36" x14ac:dyDescent="0.35">
      <c r="A442" s="329"/>
      <c r="B442" s="508" t="s">
        <v>106</v>
      </c>
      <c r="C442" s="208" t="s">
        <v>69</v>
      </c>
      <c r="D442" s="209" t="s">
        <v>44</v>
      </c>
      <c r="E442" s="209" t="s">
        <v>42</v>
      </c>
      <c r="F442" s="210" t="s">
        <v>43</v>
      </c>
      <c r="G442" s="33"/>
      <c r="H442" s="217">
        <f>H443</f>
        <v>350</v>
      </c>
    </row>
    <row r="443" spans="1:8" s="339" customFormat="1" ht="36" x14ac:dyDescent="0.35">
      <c r="A443" s="329"/>
      <c r="B443" s="493" t="s">
        <v>107</v>
      </c>
      <c r="C443" s="208" t="s">
        <v>69</v>
      </c>
      <c r="D443" s="209" t="s">
        <v>44</v>
      </c>
      <c r="E443" s="209" t="s">
        <v>36</v>
      </c>
      <c r="F443" s="210" t="s">
        <v>43</v>
      </c>
      <c r="G443" s="33"/>
      <c r="H443" s="217">
        <f>H444</f>
        <v>350</v>
      </c>
    </row>
    <row r="444" spans="1:8" s="339" customFormat="1" ht="36" x14ac:dyDescent="0.35">
      <c r="A444" s="329"/>
      <c r="B444" s="508" t="s">
        <v>108</v>
      </c>
      <c r="C444" s="208" t="s">
        <v>69</v>
      </c>
      <c r="D444" s="209" t="s">
        <v>44</v>
      </c>
      <c r="E444" s="209" t="s">
        <v>36</v>
      </c>
      <c r="F444" s="210" t="s">
        <v>109</v>
      </c>
      <c r="G444" s="33"/>
      <c r="H444" s="217">
        <f>SUM(H445:H445)</f>
        <v>350</v>
      </c>
    </row>
    <row r="445" spans="1:8" s="339" customFormat="1" ht="36" x14ac:dyDescent="0.35">
      <c r="A445" s="329"/>
      <c r="B445" s="493" t="s">
        <v>53</v>
      </c>
      <c r="C445" s="208" t="s">
        <v>69</v>
      </c>
      <c r="D445" s="209" t="s">
        <v>44</v>
      </c>
      <c r="E445" s="209" t="s">
        <v>36</v>
      </c>
      <c r="F445" s="210" t="s">
        <v>109</v>
      </c>
      <c r="G445" s="33" t="s">
        <v>54</v>
      </c>
      <c r="H445" s="217">
        <f>'прил8 (ведом 24)'!M149</f>
        <v>350</v>
      </c>
    </row>
    <row r="446" spans="1:8" s="339" customFormat="1" ht="36" x14ac:dyDescent="0.35">
      <c r="A446" s="329"/>
      <c r="B446" s="508" t="s">
        <v>110</v>
      </c>
      <c r="C446" s="208" t="s">
        <v>69</v>
      </c>
      <c r="D446" s="209" t="s">
        <v>87</v>
      </c>
      <c r="E446" s="209" t="s">
        <v>42</v>
      </c>
      <c r="F446" s="210" t="s">
        <v>43</v>
      </c>
      <c r="G446" s="33"/>
      <c r="H446" s="217">
        <f>H447</f>
        <v>726.1</v>
      </c>
    </row>
    <row r="447" spans="1:8" s="339" customFormat="1" ht="36" x14ac:dyDescent="0.35">
      <c r="A447" s="329"/>
      <c r="B447" s="508" t="s">
        <v>111</v>
      </c>
      <c r="C447" s="208" t="s">
        <v>69</v>
      </c>
      <c r="D447" s="209" t="s">
        <v>87</v>
      </c>
      <c r="E447" s="209" t="s">
        <v>36</v>
      </c>
      <c r="F447" s="210" t="s">
        <v>43</v>
      </c>
      <c r="G447" s="33"/>
      <c r="H447" s="217">
        <f>H448</f>
        <v>726.1</v>
      </c>
    </row>
    <row r="448" spans="1:8" s="339" customFormat="1" ht="72" x14ac:dyDescent="0.35">
      <c r="A448" s="329"/>
      <c r="B448" s="508" t="s">
        <v>112</v>
      </c>
      <c r="C448" s="208" t="s">
        <v>69</v>
      </c>
      <c r="D448" s="209" t="s">
        <v>87</v>
      </c>
      <c r="E448" s="209" t="s">
        <v>36</v>
      </c>
      <c r="F448" s="210" t="s">
        <v>113</v>
      </c>
      <c r="G448" s="33"/>
      <c r="H448" s="217">
        <f>H449</f>
        <v>726.1</v>
      </c>
    </row>
    <row r="449" spans="1:8" ht="36" x14ac:dyDescent="0.35">
      <c r="A449" s="329"/>
      <c r="B449" s="493" t="s">
        <v>53</v>
      </c>
      <c r="C449" s="208" t="s">
        <v>69</v>
      </c>
      <c r="D449" s="209" t="s">
        <v>87</v>
      </c>
      <c r="E449" s="209" t="s">
        <v>36</v>
      </c>
      <c r="F449" s="210" t="s">
        <v>113</v>
      </c>
      <c r="G449" s="33" t="s">
        <v>54</v>
      </c>
      <c r="H449" s="217">
        <f>'прил8 (ведом 24)'!M153</f>
        <v>726.1</v>
      </c>
    </row>
    <row r="450" spans="1:8" ht="18" x14ac:dyDescent="0.35">
      <c r="A450" s="329"/>
      <c r="B450" s="500"/>
      <c r="C450" s="670"/>
      <c r="D450" s="670"/>
      <c r="E450" s="670"/>
      <c r="F450" s="671"/>
      <c r="G450" s="238"/>
      <c r="H450" s="217"/>
    </row>
    <row r="451" spans="1:8" s="339" customFormat="1" ht="52.2" x14ac:dyDescent="0.3">
      <c r="A451" s="344">
        <v>13</v>
      </c>
      <c r="B451" s="505" t="s">
        <v>114</v>
      </c>
      <c r="C451" s="345" t="s">
        <v>86</v>
      </c>
      <c r="D451" s="345" t="s">
        <v>41</v>
      </c>
      <c r="E451" s="345" t="s">
        <v>42</v>
      </c>
      <c r="F451" s="346" t="s">
        <v>43</v>
      </c>
      <c r="G451" s="338"/>
      <c r="H451" s="251">
        <f>H452</f>
        <v>50</v>
      </c>
    </row>
    <row r="452" spans="1:8" s="339" customFormat="1" ht="18" x14ac:dyDescent="0.35">
      <c r="A452" s="329"/>
      <c r="B452" s="493" t="s">
        <v>335</v>
      </c>
      <c r="C452" s="208" t="s">
        <v>86</v>
      </c>
      <c r="D452" s="209" t="s">
        <v>44</v>
      </c>
      <c r="E452" s="209" t="s">
        <v>42</v>
      </c>
      <c r="F452" s="210" t="s">
        <v>43</v>
      </c>
      <c r="G452" s="33"/>
      <c r="H452" s="217">
        <f>H453</f>
        <v>50</v>
      </c>
    </row>
    <row r="453" spans="1:8" s="339" customFormat="1" ht="54" x14ac:dyDescent="0.35">
      <c r="A453" s="329"/>
      <c r="B453" s="508" t="s">
        <v>303</v>
      </c>
      <c r="C453" s="208" t="s">
        <v>86</v>
      </c>
      <c r="D453" s="209" t="s">
        <v>44</v>
      </c>
      <c r="E453" s="209" t="s">
        <v>36</v>
      </c>
      <c r="F453" s="210" t="s">
        <v>43</v>
      </c>
      <c r="G453" s="33"/>
      <c r="H453" s="217">
        <f>H454</f>
        <v>50</v>
      </c>
    </row>
    <row r="454" spans="1:8" s="339" customFormat="1" ht="54" x14ac:dyDescent="0.35">
      <c r="A454" s="329"/>
      <c r="B454" s="508" t="s">
        <v>115</v>
      </c>
      <c r="C454" s="208" t="s">
        <v>86</v>
      </c>
      <c r="D454" s="209" t="s">
        <v>44</v>
      </c>
      <c r="E454" s="209" t="s">
        <v>36</v>
      </c>
      <c r="F454" s="210" t="s">
        <v>116</v>
      </c>
      <c r="G454" s="33"/>
      <c r="H454" s="217">
        <f>H455</f>
        <v>50</v>
      </c>
    </row>
    <row r="455" spans="1:8" ht="36" x14ac:dyDescent="0.35">
      <c r="A455" s="329"/>
      <c r="B455" s="493" t="s">
        <v>53</v>
      </c>
      <c r="C455" s="208" t="s">
        <v>86</v>
      </c>
      <c r="D455" s="209" t="s">
        <v>44</v>
      </c>
      <c r="E455" s="209" t="s">
        <v>36</v>
      </c>
      <c r="F455" s="210" t="s">
        <v>116</v>
      </c>
      <c r="G455" s="33" t="s">
        <v>54</v>
      </c>
      <c r="H455" s="217">
        <f>'прил8 (ведом 24)'!M158</f>
        <v>50</v>
      </c>
    </row>
    <row r="456" spans="1:8" s="339" customFormat="1" ht="18" x14ac:dyDescent="0.35">
      <c r="A456" s="329"/>
      <c r="B456" s="496"/>
      <c r="C456" s="670"/>
      <c r="D456" s="670"/>
      <c r="E456" s="670"/>
      <c r="F456" s="671"/>
      <c r="G456" s="238"/>
      <c r="H456" s="217"/>
    </row>
    <row r="457" spans="1:8" s="339" customFormat="1" ht="69.599999999999994" x14ac:dyDescent="0.3">
      <c r="A457" s="344">
        <v>14</v>
      </c>
      <c r="B457" s="505" t="s">
        <v>70</v>
      </c>
      <c r="C457" s="345" t="s">
        <v>71</v>
      </c>
      <c r="D457" s="345" t="s">
        <v>41</v>
      </c>
      <c r="E457" s="345" t="s">
        <v>42</v>
      </c>
      <c r="F457" s="346" t="s">
        <v>43</v>
      </c>
      <c r="G457" s="338"/>
      <c r="H457" s="251">
        <f>H458</f>
        <v>3827</v>
      </c>
    </row>
    <row r="458" spans="1:8" ht="30.75" customHeight="1" x14ac:dyDescent="0.35">
      <c r="A458" s="329"/>
      <c r="B458" s="493" t="s">
        <v>335</v>
      </c>
      <c r="C458" s="208" t="s">
        <v>71</v>
      </c>
      <c r="D458" s="209" t="s">
        <v>44</v>
      </c>
      <c r="E458" s="209" t="s">
        <v>42</v>
      </c>
      <c r="F458" s="210" t="s">
        <v>43</v>
      </c>
      <c r="G458" s="33"/>
      <c r="H458" s="217">
        <f>H459</f>
        <v>3827</v>
      </c>
    </row>
    <row r="459" spans="1:8" ht="36" x14ac:dyDescent="0.35">
      <c r="A459" s="329"/>
      <c r="B459" s="509" t="s">
        <v>262</v>
      </c>
      <c r="C459" s="208" t="s">
        <v>71</v>
      </c>
      <c r="D459" s="209" t="s">
        <v>44</v>
      </c>
      <c r="E459" s="209" t="s">
        <v>36</v>
      </c>
      <c r="F459" s="210" t="s">
        <v>43</v>
      </c>
      <c r="G459" s="33"/>
      <c r="H459" s="217">
        <f>H460</f>
        <v>3827</v>
      </c>
    </row>
    <row r="460" spans="1:8" ht="36" x14ac:dyDescent="0.35">
      <c r="A460" s="329"/>
      <c r="B460" s="509" t="s">
        <v>72</v>
      </c>
      <c r="C460" s="208" t="s">
        <v>71</v>
      </c>
      <c r="D460" s="209" t="s">
        <v>44</v>
      </c>
      <c r="E460" s="209" t="s">
        <v>36</v>
      </c>
      <c r="F460" s="210" t="s">
        <v>73</v>
      </c>
      <c r="G460" s="33"/>
      <c r="H460" s="217">
        <f>H461</f>
        <v>3827</v>
      </c>
    </row>
    <row r="461" spans="1:8" ht="49.5" customHeight="1" x14ac:dyDescent="0.35">
      <c r="A461" s="329"/>
      <c r="B461" s="496" t="s">
        <v>74</v>
      </c>
      <c r="C461" s="208" t="s">
        <v>71</v>
      </c>
      <c r="D461" s="209" t="s">
        <v>44</v>
      </c>
      <c r="E461" s="209" t="s">
        <v>36</v>
      </c>
      <c r="F461" s="210" t="s">
        <v>73</v>
      </c>
      <c r="G461" s="33" t="s">
        <v>75</v>
      </c>
      <c r="H461" s="217">
        <f>'прил8 (ведом 24)'!M65+'прил8 (ведом 24)'!M199</f>
        <v>3827</v>
      </c>
    </row>
    <row r="462" spans="1:8" ht="18" x14ac:dyDescent="0.35">
      <c r="A462" s="329"/>
      <c r="B462" s="496"/>
      <c r="C462" s="670"/>
      <c r="D462" s="670"/>
      <c r="E462" s="670"/>
      <c r="F462" s="671"/>
      <c r="G462" s="238"/>
      <c r="H462" s="217"/>
    </row>
    <row r="463" spans="1:8" s="339" customFormat="1" ht="52.2" x14ac:dyDescent="0.3">
      <c r="A463" s="344">
        <v>15</v>
      </c>
      <c r="B463" s="505" t="s">
        <v>39</v>
      </c>
      <c r="C463" s="345" t="s">
        <v>40</v>
      </c>
      <c r="D463" s="345" t="s">
        <v>41</v>
      </c>
      <c r="E463" s="345" t="s">
        <v>42</v>
      </c>
      <c r="F463" s="346" t="s">
        <v>43</v>
      </c>
      <c r="G463" s="338"/>
      <c r="H463" s="251">
        <f>H464</f>
        <v>164214.57446999999</v>
      </c>
    </row>
    <row r="464" spans="1:8" s="339" customFormat="1" ht="18" x14ac:dyDescent="0.35">
      <c r="A464" s="329"/>
      <c r="B464" s="493" t="s">
        <v>335</v>
      </c>
      <c r="C464" s="208" t="s">
        <v>40</v>
      </c>
      <c r="D464" s="209" t="s">
        <v>44</v>
      </c>
      <c r="E464" s="209" t="s">
        <v>42</v>
      </c>
      <c r="F464" s="210" t="s">
        <v>43</v>
      </c>
      <c r="G464" s="33"/>
      <c r="H464" s="217">
        <f>H465+H468+H487+H495+H500+H513+H507+H504+H510</f>
        <v>164214.57446999999</v>
      </c>
    </row>
    <row r="465" spans="1:8" s="339" customFormat="1" ht="36" x14ac:dyDescent="0.35">
      <c r="A465" s="329"/>
      <c r="B465" s="493" t="s">
        <v>45</v>
      </c>
      <c r="C465" s="208" t="s">
        <v>40</v>
      </c>
      <c r="D465" s="209" t="s">
        <v>44</v>
      </c>
      <c r="E465" s="209" t="s">
        <v>36</v>
      </c>
      <c r="F465" s="210" t="s">
        <v>43</v>
      </c>
      <c r="G465" s="33"/>
      <c r="H465" s="217">
        <f>H466</f>
        <v>2638.4</v>
      </c>
    </row>
    <row r="466" spans="1:8" s="339" customFormat="1" ht="36" x14ac:dyDescent="0.35">
      <c r="A466" s="329"/>
      <c r="B466" s="493" t="s">
        <v>46</v>
      </c>
      <c r="C466" s="208" t="s">
        <v>40</v>
      </c>
      <c r="D466" s="209" t="s">
        <v>44</v>
      </c>
      <c r="E466" s="209" t="s">
        <v>36</v>
      </c>
      <c r="F466" s="210" t="s">
        <v>47</v>
      </c>
      <c r="G466" s="33"/>
      <c r="H466" s="217">
        <f>H467</f>
        <v>2638.4</v>
      </c>
    </row>
    <row r="467" spans="1:8" s="339" customFormat="1" ht="90" x14ac:dyDescent="0.35">
      <c r="A467" s="329"/>
      <c r="B467" s="493" t="s">
        <v>48</v>
      </c>
      <c r="C467" s="208" t="s">
        <v>40</v>
      </c>
      <c r="D467" s="209" t="s">
        <v>44</v>
      </c>
      <c r="E467" s="209" t="s">
        <v>36</v>
      </c>
      <c r="F467" s="210" t="s">
        <v>47</v>
      </c>
      <c r="G467" s="33" t="s">
        <v>49</v>
      </c>
      <c r="H467" s="217">
        <f>'прил8 (ведом 24)'!M22</f>
        <v>2638.4</v>
      </c>
    </row>
    <row r="468" spans="1:8" s="339" customFormat="1" ht="36" x14ac:dyDescent="0.35">
      <c r="A468" s="329"/>
      <c r="B468" s="493" t="s">
        <v>52</v>
      </c>
      <c r="C468" s="208" t="s">
        <v>40</v>
      </c>
      <c r="D468" s="209" t="s">
        <v>44</v>
      </c>
      <c r="E468" s="209" t="s">
        <v>38</v>
      </c>
      <c r="F468" s="210" t="s">
        <v>43</v>
      </c>
      <c r="G468" s="33"/>
      <c r="H468" s="217">
        <f>H469+H473+H477+H479+H481+H475+H484</f>
        <v>85371.77399999999</v>
      </c>
    </row>
    <row r="469" spans="1:8" s="339" customFormat="1" ht="36" x14ac:dyDescent="0.35">
      <c r="A469" s="329"/>
      <c r="B469" s="493" t="s">
        <v>46</v>
      </c>
      <c r="C469" s="208" t="s">
        <v>40</v>
      </c>
      <c r="D469" s="209" t="s">
        <v>44</v>
      </c>
      <c r="E469" s="209" t="s">
        <v>38</v>
      </c>
      <c r="F469" s="210" t="s">
        <v>47</v>
      </c>
      <c r="G469" s="33"/>
      <c r="H469" s="217">
        <f>SUM(H470:H472)</f>
        <v>79620.173999999985</v>
      </c>
    </row>
    <row r="470" spans="1:8" s="339" customFormat="1" ht="90" x14ac:dyDescent="0.35">
      <c r="A470" s="329"/>
      <c r="B470" s="493" t="s">
        <v>48</v>
      </c>
      <c r="C470" s="208" t="s">
        <v>40</v>
      </c>
      <c r="D470" s="209" t="s">
        <v>44</v>
      </c>
      <c r="E470" s="209" t="s">
        <v>38</v>
      </c>
      <c r="F470" s="210" t="s">
        <v>47</v>
      </c>
      <c r="G470" s="33" t="s">
        <v>49</v>
      </c>
      <c r="H470" s="217">
        <f>'прил8 (ведом 24)'!M28</f>
        <v>78949.099999999991</v>
      </c>
    </row>
    <row r="471" spans="1:8" ht="36" x14ac:dyDescent="0.35">
      <c r="A471" s="329"/>
      <c r="B471" s="493" t="s">
        <v>53</v>
      </c>
      <c r="C471" s="208" t="s">
        <v>40</v>
      </c>
      <c r="D471" s="209" t="s">
        <v>44</v>
      </c>
      <c r="E471" s="209" t="s">
        <v>38</v>
      </c>
      <c r="F471" s="210" t="s">
        <v>47</v>
      </c>
      <c r="G471" s="33" t="s">
        <v>54</v>
      </c>
      <c r="H471" s="217">
        <f>'прил8 (ведом 24)'!M29</f>
        <v>546.07400000000007</v>
      </c>
    </row>
    <row r="472" spans="1:8" s="339" customFormat="1" ht="18" x14ac:dyDescent="0.35">
      <c r="A472" s="329"/>
      <c r="B472" s="493" t="s">
        <v>55</v>
      </c>
      <c r="C472" s="208" t="s">
        <v>40</v>
      </c>
      <c r="D472" s="209" t="s">
        <v>44</v>
      </c>
      <c r="E472" s="209" t="s">
        <v>38</v>
      </c>
      <c r="F472" s="210" t="s">
        <v>47</v>
      </c>
      <c r="G472" s="33" t="s">
        <v>56</v>
      </c>
      <c r="H472" s="217">
        <f>'прил8 (ведом 24)'!M30</f>
        <v>125</v>
      </c>
    </row>
    <row r="473" spans="1:8" s="339" customFormat="1" ht="18" x14ac:dyDescent="0.35">
      <c r="A473" s="329"/>
      <c r="B473" s="497" t="s">
        <v>577</v>
      </c>
      <c r="C473" s="676" t="s">
        <v>40</v>
      </c>
      <c r="D473" s="677" t="s">
        <v>44</v>
      </c>
      <c r="E473" s="677" t="s">
        <v>38</v>
      </c>
      <c r="F473" s="678" t="s">
        <v>578</v>
      </c>
      <c r="G473" s="15"/>
      <c r="H473" s="217">
        <f>H474</f>
        <v>63.4</v>
      </c>
    </row>
    <row r="474" spans="1:8" s="339" customFormat="1" ht="36" x14ac:dyDescent="0.35">
      <c r="A474" s="329"/>
      <c r="B474" s="497" t="s">
        <v>53</v>
      </c>
      <c r="C474" s="676" t="s">
        <v>40</v>
      </c>
      <c r="D474" s="677" t="s">
        <v>44</v>
      </c>
      <c r="E474" s="677" t="s">
        <v>38</v>
      </c>
      <c r="F474" s="678" t="s">
        <v>578</v>
      </c>
      <c r="G474" s="15" t="s">
        <v>54</v>
      </c>
      <c r="H474" s="217">
        <f>'прил8 (ведом 24)'!M70</f>
        <v>63.4</v>
      </c>
    </row>
    <row r="475" spans="1:8" s="339" customFormat="1" ht="72" x14ac:dyDescent="0.35">
      <c r="A475" s="329"/>
      <c r="B475" s="494" t="s">
        <v>381</v>
      </c>
      <c r="C475" s="208" t="s">
        <v>40</v>
      </c>
      <c r="D475" s="209" t="s">
        <v>44</v>
      </c>
      <c r="E475" s="209" t="s">
        <v>38</v>
      </c>
      <c r="F475" s="210" t="s">
        <v>380</v>
      </c>
      <c r="G475" s="33"/>
      <c r="H475" s="217">
        <f>H476</f>
        <v>8.6</v>
      </c>
    </row>
    <row r="476" spans="1:8" s="339" customFormat="1" ht="36" x14ac:dyDescent="0.35">
      <c r="A476" s="329"/>
      <c r="B476" s="494" t="s">
        <v>53</v>
      </c>
      <c r="C476" s="208" t="s">
        <v>40</v>
      </c>
      <c r="D476" s="209" t="s">
        <v>44</v>
      </c>
      <c r="E476" s="209" t="s">
        <v>38</v>
      </c>
      <c r="F476" s="210" t="s">
        <v>380</v>
      </c>
      <c r="G476" s="33" t="s">
        <v>54</v>
      </c>
      <c r="H476" s="217">
        <f>'прил8 (ведом 24)'!M49</f>
        <v>8.6</v>
      </c>
    </row>
    <row r="477" spans="1:8" ht="180" x14ac:dyDescent="0.35">
      <c r="A477" s="329"/>
      <c r="B477" s="493" t="s">
        <v>591</v>
      </c>
      <c r="C477" s="208" t="s">
        <v>40</v>
      </c>
      <c r="D477" s="209" t="s">
        <v>44</v>
      </c>
      <c r="E477" s="209" t="s">
        <v>38</v>
      </c>
      <c r="F477" s="210" t="s">
        <v>261</v>
      </c>
      <c r="G477" s="33"/>
      <c r="H477" s="217">
        <f>H478</f>
        <v>63</v>
      </c>
    </row>
    <row r="478" spans="1:8" ht="36" x14ac:dyDescent="0.35">
      <c r="A478" s="329"/>
      <c r="B478" s="493" t="s">
        <v>53</v>
      </c>
      <c r="C478" s="208" t="s">
        <v>40</v>
      </c>
      <c r="D478" s="209" t="s">
        <v>44</v>
      </c>
      <c r="E478" s="209" t="s">
        <v>38</v>
      </c>
      <c r="F478" s="210" t="s">
        <v>261</v>
      </c>
      <c r="G478" s="33" t="s">
        <v>54</v>
      </c>
      <c r="H478" s="217">
        <f>'прил8 (ведом 24)'!M32</f>
        <v>63</v>
      </c>
    </row>
    <row r="479" spans="1:8" ht="173.25" customHeight="1" x14ac:dyDescent="0.35">
      <c r="A479" s="329"/>
      <c r="B479" s="528" t="s">
        <v>442</v>
      </c>
      <c r="C479" s="208" t="s">
        <v>40</v>
      </c>
      <c r="D479" s="209" t="s">
        <v>44</v>
      </c>
      <c r="E479" s="209" t="s">
        <v>38</v>
      </c>
      <c r="F479" s="210" t="s">
        <v>57</v>
      </c>
      <c r="G479" s="33"/>
      <c r="H479" s="217">
        <f>H480</f>
        <v>755.8</v>
      </c>
    </row>
    <row r="480" spans="1:8" ht="90" x14ac:dyDescent="0.35">
      <c r="A480" s="329"/>
      <c r="B480" s="494" t="s">
        <v>48</v>
      </c>
      <c r="C480" s="208" t="s">
        <v>40</v>
      </c>
      <c r="D480" s="209" t="s">
        <v>44</v>
      </c>
      <c r="E480" s="209" t="s">
        <v>38</v>
      </c>
      <c r="F480" s="210" t="s">
        <v>57</v>
      </c>
      <c r="G480" s="33" t="s">
        <v>49</v>
      </c>
      <c r="H480" s="217">
        <f>'прил8 (ведом 24)'!M34</f>
        <v>755.8</v>
      </c>
    </row>
    <row r="481" spans="1:8" ht="54" x14ac:dyDescent="0.35">
      <c r="A481" s="329"/>
      <c r="B481" s="494" t="s">
        <v>404</v>
      </c>
      <c r="C481" s="208" t="s">
        <v>40</v>
      </c>
      <c r="D481" s="209" t="s">
        <v>44</v>
      </c>
      <c r="E481" s="209" t="s">
        <v>38</v>
      </c>
      <c r="F481" s="210" t="s">
        <v>59</v>
      </c>
      <c r="G481" s="33"/>
      <c r="H481" s="217">
        <f>H482+H483</f>
        <v>756</v>
      </c>
    </row>
    <row r="482" spans="1:8" ht="90" x14ac:dyDescent="0.35">
      <c r="A482" s="329"/>
      <c r="B482" s="494" t="s">
        <v>48</v>
      </c>
      <c r="C482" s="208" t="s">
        <v>40</v>
      </c>
      <c r="D482" s="209" t="s">
        <v>44</v>
      </c>
      <c r="E482" s="209" t="s">
        <v>38</v>
      </c>
      <c r="F482" s="210" t="s">
        <v>59</v>
      </c>
      <c r="G482" s="33" t="s">
        <v>49</v>
      </c>
      <c r="H482" s="217">
        <f>'прил8 (ведом 24)'!M36</f>
        <v>751.8</v>
      </c>
    </row>
    <row r="483" spans="1:8" ht="36" x14ac:dyDescent="0.35">
      <c r="A483" s="329"/>
      <c r="B483" s="494" t="s">
        <v>53</v>
      </c>
      <c r="C483" s="208" t="s">
        <v>40</v>
      </c>
      <c r="D483" s="209" t="s">
        <v>44</v>
      </c>
      <c r="E483" s="209" t="s">
        <v>38</v>
      </c>
      <c r="F483" s="210" t="s">
        <v>59</v>
      </c>
      <c r="G483" s="33" t="s">
        <v>54</v>
      </c>
      <c r="H483" s="217">
        <f>'прил8 (ведом 24)'!M37</f>
        <v>4.2</v>
      </c>
    </row>
    <row r="484" spans="1:8" ht="72" x14ac:dyDescent="0.35">
      <c r="A484" s="329"/>
      <c r="B484" s="493" t="s">
        <v>58</v>
      </c>
      <c r="C484" s="208" t="s">
        <v>40</v>
      </c>
      <c r="D484" s="209" t="s">
        <v>44</v>
      </c>
      <c r="E484" s="209" t="s">
        <v>38</v>
      </c>
      <c r="F484" s="210" t="s">
        <v>497</v>
      </c>
      <c r="G484" s="33"/>
      <c r="H484" s="217">
        <f>H485+H486</f>
        <v>4104.8</v>
      </c>
    </row>
    <row r="485" spans="1:8" ht="90" x14ac:dyDescent="0.35">
      <c r="A485" s="329"/>
      <c r="B485" s="493" t="s">
        <v>48</v>
      </c>
      <c r="C485" s="208" t="s">
        <v>40</v>
      </c>
      <c r="D485" s="209" t="s">
        <v>44</v>
      </c>
      <c r="E485" s="209" t="s">
        <v>38</v>
      </c>
      <c r="F485" s="210" t="s">
        <v>497</v>
      </c>
      <c r="G485" s="33" t="s">
        <v>49</v>
      </c>
      <c r="H485" s="217">
        <f>'прил8 (ведом 24)'!M39</f>
        <v>4029.8</v>
      </c>
    </row>
    <row r="486" spans="1:8" ht="36" x14ac:dyDescent="0.35">
      <c r="A486" s="329"/>
      <c r="B486" s="494" t="s">
        <v>53</v>
      </c>
      <c r="C486" s="208" t="s">
        <v>40</v>
      </c>
      <c r="D486" s="209" t="s">
        <v>44</v>
      </c>
      <c r="E486" s="209" t="s">
        <v>38</v>
      </c>
      <c r="F486" s="210" t="s">
        <v>497</v>
      </c>
      <c r="G486" s="33" t="s">
        <v>54</v>
      </c>
      <c r="H486" s="217">
        <f>'прил8 (ведом 24)'!M40</f>
        <v>75</v>
      </c>
    </row>
    <row r="487" spans="1:8" ht="18" x14ac:dyDescent="0.35">
      <c r="A487" s="329"/>
      <c r="B487" s="493" t="s">
        <v>60</v>
      </c>
      <c r="C487" s="208" t="s">
        <v>40</v>
      </c>
      <c r="D487" s="209" t="s">
        <v>44</v>
      </c>
      <c r="E487" s="209" t="s">
        <v>61</v>
      </c>
      <c r="F487" s="210" t="s">
        <v>43</v>
      </c>
      <c r="G487" s="33"/>
      <c r="H487" s="217">
        <f>H490+H492+H488</f>
        <v>3694.2</v>
      </c>
    </row>
    <row r="488" spans="1:8" ht="36" x14ac:dyDescent="0.35">
      <c r="A488" s="329"/>
      <c r="B488" s="497" t="s">
        <v>46</v>
      </c>
      <c r="C488" s="676" t="s">
        <v>40</v>
      </c>
      <c r="D488" s="677" t="s">
        <v>44</v>
      </c>
      <c r="E488" s="677" t="s">
        <v>61</v>
      </c>
      <c r="F488" s="678" t="s">
        <v>47</v>
      </c>
      <c r="G488" s="15"/>
      <c r="H488" s="217">
        <f>H489</f>
        <v>18.5</v>
      </c>
    </row>
    <row r="489" spans="1:8" ht="36" x14ac:dyDescent="0.35">
      <c r="A489" s="329"/>
      <c r="B489" s="497" t="s">
        <v>53</v>
      </c>
      <c r="C489" s="676" t="s">
        <v>40</v>
      </c>
      <c r="D489" s="677" t="s">
        <v>44</v>
      </c>
      <c r="E489" s="677" t="s">
        <v>61</v>
      </c>
      <c r="F489" s="678" t="s">
        <v>47</v>
      </c>
      <c r="G489" s="15" t="s">
        <v>54</v>
      </c>
      <c r="H489" s="217">
        <f>'прил8 (ведом 24)'!M43</f>
        <v>18.5</v>
      </c>
    </row>
    <row r="490" spans="1:8" ht="36" x14ac:dyDescent="0.35">
      <c r="A490" s="329"/>
      <c r="B490" s="494" t="s">
        <v>496</v>
      </c>
      <c r="C490" s="208" t="s">
        <v>40</v>
      </c>
      <c r="D490" s="209" t="s">
        <v>44</v>
      </c>
      <c r="E490" s="209" t="s">
        <v>61</v>
      </c>
      <c r="F490" s="210" t="s">
        <v>495</v>
      </c>
      <c r="G490" s="33"/>
      <c r="H490" s="217">
        <f>H491</f>
        <v>191.6</v>
      </c>
    </row>
    <row r="491" spans="1:8" ht="36" x14ac:dyDescent="0.35">
      <c r="A491" s="329"/>
      <c r="B491" s="494" t="s">
        <v>53</v>
      </c>
      <c r="C491" s="208" t="s">
        <v>40</v>
      </c>
      <c r="D491" s="209" t="s">
        <v>44</v>
      </c>
      <c r="E491" s="209" t="s">
        <v>61</v>
      </c>
      <c r="F491" s="210" t="s">
        <v>495</v>
      </c>
      <c r="G491" s="33" t="s">
        <v>54</v>
      </c>
      <c r="H491" s="217">
        <f>'прил8 (ведом 24)'!M177</f>
        <v>191.6</v>
      </c>
    </row>
    <row r="492" spans="1:8" ht="54" x14ac:dyDescent="0.35">
      <c r="A492" s="329"/>
      <c r="B492" s="494" t="s">
        <v>375</v>
      </c>
      <c r="C492" s="208" t="s">
        <v>40</v>
      </c>
      <c r="D492" s="209" t="s">
        <v>44</v>
      </c>
      <c r="E492" s="209" t="s">
        <v>61</v>
      </c>
      <c r="F492" s="210" t="s">
        <v>374</v>
      </c>
      <c r="G492" s="33"/>
      <c r="H492" s="217">
        <f>H493+H494</f>
        <v>3484.1</v>
      </c>
    </row>
    <row r="493" spans="1:8" ht="36" x14ac:dyDescent="0.35">
      <c r="A493" s="329"/>
      <c r="B493" s="494" t="s">
        <v>53</v>
      </c>
      <c r="C493" s="208" t="s">
        <v>40</v>
      </c>
      <c r="D493" s="209" t="s">
        <v>44</v>
      </c>
      <c r="E493" s="209" t="s">
        <v>61</v>
      </c>
      <c r="F493" s="210" t="s">
        <v>374</v>
      </c>
      <c r="G493" s="33" t="s">
        <v>54</v>
      </c>
      <c r="H493" s="217">
        <f>'прил8 (ведом 24)'!M73</f>
        <v>3260.2999999999997</v>
      </c>
    </row>
    <row r="494" spans="1:8" ht="18" x14ac:dyDescent="0.35">
      <c r="A494" s="329"/>
      <c r="B494" s="494" t="s">
        <v>55</v>
      </c>
      <c r="C494" s="208" t="s">
        <v>40</v>
      </c>
      <c r="D494" s="209" t="s">
        <v>44</v>
      </c>
      <c r="E494" s="209" t="s">
        <v>61</v>
      </c>
      <c r="F494" s="210" t="s">
        <v>374</v>
      </c>
      <c r="G494" s="33" t="s">
        <v>56</v>
      </c>
      <c r="H494" s="217">
        <f>'прил8 (ведом 24)'!M74</f>
        <v>223.8</v>
      </c>
    </row>
    <row r="495" spans="1:8" ht="18" x14ac:dyDescent="0.35">
      <c r="A495" s="329"/>
      <c r="B495" s="493" t="s">
        <v>62</v>
      </c>
      <c r="C495" s="208" t="s">
        <v>40</v>
      </c>
      <c r="D495" s="209" t="s">
        <v>44</v>
      </c>
      <c r="E495" s="209" t="s">
        <v>50</v>
      </c>
      <c r="F495" s="210" t="s">
        <v>43</v>
      </c>
      <c r="G495" s="33"/>
      <c r="H495" s="217">
        <f>H496+H498</f>
        <v>7127.1</v>
      </c>
    </row>
    <row r="496" spans="1:8" ht="54" x14ac:dyDescent="0.35">
      <c r="A496" s="329"/>
      <c r="B496" s="508" t="s">
        <v>348</v>
      </c>
      <c r="C496" s="208" t="s">
        <v>40</v>
      </c>
      <c r="D496" s="209" t="s">
        <v>44</v>
      </c>
      <c r="E496" s="209" t="s">
        <v>50</v>
      </c>
      <c r="F496" s="210" t="s">
        <v>103</v>
      </c>
      <c r="G496" s="33"/>
      <c r="H496" s="217">
        <f>H497</f>
        <v>5038.1000000000004</v>
      </c>
    </row>
    <row r="497" spans="1:8" ht="36" x14ac:dyDescent="0.35">
      <c r="A497" s="329"/>
      <c r="B497" s="493" t="s">
        <v>53</v>
      </c>
      <c r="C497" s="208" t="s">
        <v>40</v>
      </c>
      <c r="D497" s="209" t="s">
        <v>44</v>
      </c>
      <c r="E497" s="209" t="s">
        <v>50</v>
      </c>
      <c r="F497" s="210" t="s">
        <v>103</v>
      </c>
      <c r="G497" s="33" t="s">
        <v>54</v>
      </c>
      <c r="H497" s="217">
        <f>'прил8 (ведом 24)'!M77</f>
        <v>5038.1000000000004</v>
      </c>
    </row>
    <row r="498" spans="1:8" ht="54" x14ac:dyDescent="0.35">
      <c r="A498" s="329"/>
      <c r="B498" s="493" t="s">
        <v>350</v>
      </c>
      <c r="C498" s="208" t="s">
        <v>40</v>
      </c>
      <c r="D498" s="209" t="s">
        <v>44</v>
      </c>
      <c r="E498" s="209" t="s">
        <v>50</v>
      </c>
      <c r="F498" s="210" t="s">
        <v>349</v>
      </c>
      <c r="G498" s="33"/>
      <c r="H498" s="217">
        <f>H499</f>
        <v>2089</v>
      </c>
    </row>
    <row r="499" spans="1:8" ht="36" x14ac:dyDescent="0.35">
      <c r="A499" s="329"/>
      <c r="B499" s="493" t="s">
        <v>53</v>
      </c>
      <c r="C499" s="208" t="s">
        <v>40</v>
      </c>
      <c r="D499" s="209" t="s">
        <v>44</v>
      </c>
      <c r="E499" s="209" t="s">
        <v>50</v>
      </c>
      <c r="F499" s="210" t="s">
        <v>349</v>
      </c>
      <c r="G499" s="33" t="s">
        <v>54</v>
      </c>
      <c r="H499" s="217">
        <f>'прил8 (ведом 24)'!M79</f>
        <v>2089</v>
      </c>
    </row>
    <row r="500" spans="1:8" ht="72" x14ac:dyDescent="0.35">
      <c r="A500" s="354"/>
      <c r="B500" s="516" t="s">
        <v>295</v>
      </c>
      <c r="C500" s="347" t="s">
        <v>40</v>
      </c>
      <c r="D500" s="355" t="s">
        <v>44</v>
      </c>
      <c r="E500" s="355" t="s">
        <v>79</v>
      </c>
      <c r="F500" s="365" t="s">
        <v>43</v>
      </c>
      <c r="G500" s="366"/>
      <c r="H500" s="217">
        <f>H501</f>
        <v>6948.8170699999991</v>
      </c>
    </row>
    <row r="501" spans="1:8" ht="36" x14ac:dyDescent="0.35">
      <c r="A501" s="354"/>
      <c r="B501" s="493" t="s">
        <v>454</v>
      </c>
      <c r="C501" s="347" t="s">
        <v>40</v>
      </c>
      <c r="D501" s="355" t="s">
        <v>44</v>
      </c>
      <c r="E501" s="355" t="s">
        <v>79</v>
      </c>
      <c r="F501" s="365" t="s">
        <v>89</v>
      </c>
      <c r="G501" s="366"/>
      <c r="H501" s="217">
        <f>SUM(H502:H503)</f>
        <v>6948.8170699999991</v>
      </c>
    </row>
    <row r="502" spans="1:8" ht="90" x14ac:dyDescent="0.35">
      <c r="A502" s="354"/>
      <c r="B502" s="516" t="s">
        <v>48</v>
      </c>
      <c r="C502" s="347" t="s">
        <v>40</v>
      </c>
      <c r="D502" s="355" t="s">
        <v>44</v>
      </c>
      <c r="E502" s="355" t="s">
        <v>79</v>
      </c>
      <c r="F502" s="365" t="s">
        <v>89</v>
      </c>
      <c r="G502" s="366" t="s">
        <v>49</v>
      </c>
      <c r="H502" s="217">
        <f>'прил8 (ведом 24)'!M326</f>
        <v>6444.0999999999995</v>
      </c>
    </row>
    <row r="503" spans="1:8" ht="36" x14ac:dyDescent="0.35">
      <c r="A503" s="354"/>
      <c r="B503" s="493" t="s">
        <v>53</v>
      </c>
      <c r="C503" s="347" t="s">
        <v>40</v>
      </c>
      <c r="D503" s="355" t="s">
        <v>44</v>
      </c>
      <c r="E503" s="355" t="s">
        <v>79</v>
      </c>
      <c r="F503" s="365" t="s">
        <v>89</v>
      </c>
      <c r="G503" s="366" t="s">
        <v>54</v>
      </c>
      <c r="H503" s="217">
        <f>'прил8 (ведом 24)'!M327</f>
        <v>504.71706999999998</v>
      </c>
    </row>
    <row r="504" spans="1:8" ht="36" x14ac:dyDescent="0.35">
      <c r="A504" s="354"/>
      <c r="B504" s="627" t="s">
        <v>594</v>
      </c>
      <c r="C504" s="676" t="s">
        <v>40</v>
      </c>
      <c r="D504" s="677" t="s">
        <v>44</v>
      </c>
      <c r="E504" s="677" t="s">
        <v>77</v>
      </c>
      <c r="F504" s="678" t="s">
        <v>43</v>
      </c>
      <c r="G504" s="15"/>
      <c r="H504" s="217">
        <f>H505</f>
        <v>36</v>
      </c>
    </row>
    <row r="505" spans="1:8" ht="18" x14ac:dyDescent="0.35">
      <c r="A505" s="354"/>
      <c r="B505" s="627" t="s">
        <v>595</v>
      </c>
      <c r="C505" s="676" t="s">
        <v>40</v>
      </c>
      <c r="D505" s="677" t="s">
        <v>44</v>
      </c>
      <c r="E505" s="677" t="s">
        <v>77</v>
      </c>
      <c r="F505" s="678" t="s">
        <v>596</v>
      </c>
      <c r="G505" s="15"/>
      <c r="H505" s="217">
        <f>H506</f>
        <v>36</v>
      </c>
    </row>
    <row r="506" spans="1:8" ht="36" x14ac:dyDescent="0.35">
      <c r="A506" s="354"/>
      <c r="B506" s="627" t="s">
        <v>592</v>
      </c>
      <c r="C506" s="676" t="s">
        <v>40</v>
      </c>
      <c r="D506" s="677" t="s">
        <v>44</v>
      </c>
      <c r="E506" s="677" t="s">
        <v>77</v>
      </c>
      <c r="F506" s="678" t="s">
        <v>596</v>
      </c>
      <c r="G506" s="15" t="s">
        <v>597</v>
      </c>
      <c r="H506" s="217">
        <f>'прил8 (ведом 24)'!M206</f>
        <v>36</v>
      </c>
    </row>
    <row r="507" spans="1:8" ht="36" x14ac:dyDescent="0.35">
      <c r="A507" s="354"/>
      <c r="B507" s="497" t="s">
        <v>327</v>
      </c>
      <c r="C507" s="676" t="s">
        <v>40</v>
      </c>
      <c r="D507" s="677" t="s">
        <v>44</v>
      </c>
      <c r="E507" s="677" t="s">
        <v>86</v>
      </c>
      <c r="F507" s="678" t="s">
        <v>43</v>
      </c>
      <c r="G507" s="366"/>
      <c r="H507" s="217">
        <f>H508</f>
        <v>1200</v>
      </c>
    </row>
    <row r="508" spans="1:8" ht="54" x14ac:dyDescent="0.35">
      <c r="A508" s="354"/>
      <c r="B508" s="497" t="s">
        <v>562</v>
      </c>
      <c r="C508" s="676" t="s">
        <v>40</v>
      </c>
      <c r="D508" s="677" t="s">
        <v>44</v>
      </c>
      <c r="E508" s="677" t="s">
        <v>86</v>
      </c>
      <c r="F508" s="678" t="s">
        <v>561</v>
      </c>
      <c r="G508" s="15"/>
      <c r="H508" s="217">
        <f>H509</f>
        <v>1200</v>
      </c>
    </row>
    <row r="509" spans="1:8" ht="36" x14ac:dyDescent="0.35">
      <c r="A509" s="354"/>
      <c r="B509" s="497" t="s">
        <v>53</v>
      </c>
      <c r="C509" s="676" t="s">
        <v>40</v>
      </c>
      <c r="D509" s="677" t="s">
        <v>44</v>
      </c>
      <c r="E509" s="677" t="s">
        <v>86</v>
      </c>
      <c r="F509" s="678" t="s">
        <v>561</v>
      </c>
      <c r="G509" s="15" t="s">
        <v>54</v>
      </c>
      <c r="H509" s="217">
        <f>'прил8 (ведом 24)'!M163</f>
        <v>1200</v>
      </c>
    </row>
    <row r="510" spans="1:8" ht="18" x14ac:dyDescent="0.35">
      <c r="A510" s="354"/>
      <c r="B510" s="578" t="s">
        <v>370</v>
      </c>
      <c r="C510" s="676" t="s">
        <v>40</v>
      </c>
      <c r="D510" s="677" t="s">
        <v>44</v>
      </c>
      <c r="E510" s="677" t="s">
        <v>632</v>
      </c>
      <c r="F510" s="678" t="s">
        <v>43</v>
      </c>
      <c r="G510" s="15"/>
      <c r="H510" s="217">
        <f>H511</f>
        <v>1921.9</v>
      </c>
    </row>
    <row r="511" spans="1:8" ht="36" x14ac:dyDescent="0.35">
      <c r="A511" s="354"/>
      <c r="B511" s="578" t="s">
        <v>333</v>
      </c>
      <c r="C511" s="676" t="s">
        <v>40</v>
      </c>
      <c r="D511" s="677" t="s">
        <v>44</v>
      </c>
      <c r="E511" s="677" t="s">
        <v>632</v>
      </c>
      <c r="F511" s="678" t="s">
        <v>332</v>
      </c>
      <c r="G511" s="15"/>
      <c r="H511" s="217">
        <f>H512</f>
        <v>1921.9</v>
      </c>
    </row>
    <row r="512" spans="1:8" ht="18" x14ac:dyDescent="0.35">
      <c r="A512" s="354"/>
      <c r="B512" s="497" t="s">
        <v>55</v>
      </c>
      <c r="C512" s="676" t="s">
        <v>40</v>
      </c>
      <c r="D512" s="677" t="s">
        <v>44</v>
      </c>
      <c r="E512" s="677" t="s">
        <v>632</v>
      </c>
      <c r="F512" s="678" t="s">
        <v>332</v>
      </c>
      <c r="G512" s="15" t="s">
        <v>56</v>
      </c>
      <c r="H512" s="217">
        <f>'прил8 (ведом 24)'!M82</f>
        <v>1921.9</v>
      </c>
    </row>
    <row r="513" spans="1:8" ht="90" x14ac:dyDescent="0.35">
      <c r="A513" s="354"/>
      <c r="B513" s="497" t="s">
        <v>528</v>
      </c>
      <c r="C513" s="676" t="s">
        <v>40</v>
      </c>
      <c r="D513" s="677" t="s">
        <v>44</v>
      </c>
      <c r="E513" s="677" t="s">
        <v>526</v>
      </c>
      <c r="F513" s="678" t="s">
        <v>43</v>
      </c>
      <c r="G513" s="15"/>
      <c r="H513" s="217">
        <f>H514+H518</f>
        <v>55276.383399999999</v>
      </c>
    </row>
    <row r="514" spans="1:8" ht="36" x14ac:dyDescent="0.35">
      <c r="A514" s="354"/>
      <c r="B514" s="529" t="s">
        <v>454</v>
      </c>
      <c r="C514" s="676" t="s">
        <v>40</v>
      </c>
      <c r="D514" s="677" t="s">
        <v>44</v>
      </c>
      <c r="E514" s="677" t="s">
        <v>526</v>
      </c>
      <c r="F514" s="678" t="s">
        <v>89</v>
      </c>
      <c r="G514" s="15"/>
      <c r="H514" s="217">
        <f>SUM(H515:H517)</f>
        <v>50276.383399999999</v>
      </c>
    </row>
    <row r="515" spans="1:8" ht="90" x14ac:dyDescent="0.35">
      <c r="A515" s="354"/>
      <c r="B515" s="497" t="s">
        <v>48</v>
      </c>
      <c r="C515" s="676" t="s">
        <v>40</v>
      </c>
      <c r="D515" s="677" t="s">
        <v>44</v>
      </c>
      <c r="E515" s="677" t="s">
        <v>526</v>
      </c>
      <c r="F515" s="678" t="s">
        <v>89</v>
      </c>
      <c r="G515" s="15" t="s">
        <v>49</v>
      </c>
      <c r="H515" s="217">
        <f>'прил8 (ведом 24)'!M85</f>
        <v>37281.199999999997</v>
      </c>
    </row>
    <row r="516" spans="1:8" ht="36" x14ac:dyDescent="0.35">
      <c r="A516" s="354"/>
      <c r="B516" s="497" t="s">
        <v>53</v>
      </c>
      <c r="C516" s="676" t="s">
        <v>40</v>
      </c>
      <c r="D516" s="677" t="s">
        <v>44</v>
      </c>
      <c r="E516" s="677" t="s">
        <v>526</v>
      </c>
      <c r="F516" s="678" t="s">
        <v>89</v>
      </c>
      <c r="G516" s="15" t="s">
        <v>54</v>
      </c>
      <c r="H516" s="217">
        <f>'прил8 (ведом 24)'!M86+'прил8 (ведом 24)'!M180</f>
        <v>12907.283400000002</v>
      </c>
    </row>
    <row r="517" spans="1:8" ht="18" x14ac:dyDescent="0.35">
      <c r="A517" s="354"/>
      <c r="B517" s="497" t="s">
        <v>55</v>
      </c>
      <c r="C517" s="676" t="s">
        <v>40</v>
      </c>
      <c r="D517" s="677" t="s">
        <v>44</v>
      </c>
      <c r="E517" s="677" t="s">
        <v>526</v>
      </c>
      <c r="F517" s="678" t="s">
        <v>89</v>
      </c>
      <c r="G517" s="15" t="s">
        <v>56</v>
      </c>
      <c r="H517" s="217">
        <f>'прил8 (ведом 24)'!M87</f>
        <v>87.9</v>
      </c>
    </row>
    <row r="518" spans="1:8" ht="18" x14ac:dyDescent="0.35">
      <c r="A518" s="354"/>
      <c r="B518" s="497" t="s">
        <v>455</v>
      </c>
      <c r="C518" s="676" t="s">
        <v>40</v>
      </c>
      <c r="D518" s="677" t="s">
        <v>44</v>
      </c>
      <c r="E518" s="677" t="s">
        <v>526</v>
      </c>
      <c r="F518" s="678" t="s">
        <v>376</v>
      </c>
      <c r="G518" s="15"/>
      <c r="H518" s="217">
        <f>H519</f>
        <v>5000</v>
      </c>
    </row>
    <row r="519" spans="1:8" ht="36" x14ac:dyDescent="0.35">
      <c r="A519" s="354"/>
      <c r="B519" s="497" t="s">
        <v>53</v>
      </c>
      <c r="C519" s="676" t="s">
        <v>40</v>
      </c>
      <c r="D519" s="677" t="s">
        <v>44</v>
      </c>
      <c r="E519" s="677" t="s">
        <v>526</v>
      </c>
      <c r="F519" s="678" t="s">
        <v>376</v>
      </c>
      <c r="G519" s="15" t="s">
        <v>54</v>
      </c>
      <c r="H519" s="217">
        <f>'прил8 (ведом 24)'!M89</f>
        <v>5000</v>
      </c>
    </row>
    <row r="520" spans="1:8" ht="18" x14ac:dyDescent="0.35">
      <c r="A520" s="354"/>
      <c r="B520" s="493"/>
      <c r="C520" s="209"/>
      <c r="D520" s="209"/>
      <c r="E520" s="209"/>
      <c r="F520" s="210"/>
      <c r="G520" s="33"/>
      <c r="H520" s="217"/>
    </row>
    <row r="521" spans="1:8" ht="52.2" x14ac:dyDescent="0.3">
      <c r="A521" s="344">
        <v>16</v>
      </c>
      <c r="B521" s="515" t="s">
        <v>229</v>
      </c>
      <c r="C521" s="345" t="s">
        <v>230</v>
      </c>
      <c r="D521" s="345" t="s">
        <v>41</v>
      </c>
      <c r="E521" s="345" t="s">
        <v>42</v>
      </c>
      <c r="F521" s="346" t="s">
        <v>43</v>
      </c>
      <c r="G521" s="338"/>
      <c r="H521" s="251">
        <f>H522</f>
        <v>55.6</v>
      </c>
    </row>
    <row r="522" spans="1:8" ht="18" x14ac:dyDescent="0.35">
      <c r="A522" s="329"/>
      <c r="B522" s="493" t="s">
        <v>335</v>
      </c>
      <c r="C522" s="208" t="s">
        <v>230</v>
      </c>
      <c r="D522" s="209" t="s">
        <v>44</v>
      </c>
      <c r="E522" s="209" t="s">
        <v>42</v>
      </c>
      <c r="F522" s="210" t="s">
        <v>43</v>
      </c>
      <c r="G522" s="33"/>
      <c r="H522" s="217">
        <f>H523</f>
        <v>55.6</v>
      </c>
    </row>
    <row r="523" spans="1:8" ht="126" x14ac:dyDescent="0.35">
      <c r="A523" s="329"/>
      <c r="B523" s="493" t="s">
        <v>566</v>
      </c>
      <c r="C523" s="208" t="s">
        <v>230</v>
      </c>
      <c r="D523" s="209" t="s">
        <v>44</v>
      </c>
      <c r="E523" s="209" t="s">
        <v>36</v>
      </c>
      <c r="F523" s="210" t="s">
        <v>43</v>
      </c>
      <c r="G523" s="33"/>
      <c r="H523" s="217">
        <f>H524</f>
        <v>55.6</v>
      </c>
    </row>
    <row r="524" spans="1:8" ht="36" x14ac:dyDescent="0.35">
      <c r="A524" s="329"/>
      <c r="B524" s="493" t="s">
        <v>231</v>
      </c>
      <c r="C524" s="208" t="s">
        <v>230</v>
      </c>
      <c r="D524" s="209" t="s">
        <v>44</v>
      </c>
      <c r="E524" s="209" t="s">
        <v>36</v>
      </c>
      <c r="F524" s="210" t="s">
        <v>276</v>
      </c>
      <c r="G524" s="33"/>
      <c r="H524" s="217">
        <f>H525</f>
        <v>55.6</v>
      </c>
    </row>
    <row r="525" spans="1:8" ht="36" x14ac:dyDescent="0.35">
      <c r="A525" s="329"/>
      <c r="B525" s="493" t="s">
        <v>74</v>
      </c>
      <c r="C525" s="208" t="s">
        <v>230</v>
      </c>
      <c r="D525" s="209" t="s">
        <v>44</v>
      </c>
      <c r="E525" s="209" t="s">
        <v>36</v>
      </c>
      <c r="F525" s="210" t="s">
        <v>276</v>
      </c>
      <c r="G525" s="33" t="s">
        <v>75</v>
      </c>
      <c r="H525" s="217">
        <f>'прил8 (ведом 24)'!M424</f>
        <v>55.6</v>
      </c>
    </row>
    <row r="526" spans="1:8" ht="18" x14ac:dyDescent="0.35">
      <c r="A526" s="354"/>
      <c r="B526" s="493"/>
      <c r="C526" s="209"/>
      <c r="D526" s="209"/>
      <c r="E526" s="209"/>
      <c r="F526" s="209"/>
      <c r="G526" s="33"/>
      <c r="H526" s="217"/>
    </row>
    <row r="527" spans="1:8" ht="34.799999999999997" x14ac:dyDescent="0.3">
      <c r="A527" s="344">
        <v>17</v>
      </c>
      <c r="B527" s="530" t="s">
        <v>128</v>
      </c>
      <c r="C527" s="345" t="s">
        <v>129</v>
      </c>
      <c r="D527" s="345" t="s">
        <v>41</v>
      </c>
      <c r="E527" s="345" t="s">
        <v>42</v>
      </c>
      <c r="F527" s="345" t="s">
        <v>43</v>
      </c>
      <c r="G527" s="338"/>
      <c r="H527" s="251">
        <f>H528</f>
        <v>7055.7999999999984</v>
      </c>
    </row>
    <row r="528" spans="1:8" ht="36" x14ac:dyDescent="0.35">
      <c r="A528" s="329"/>
      <c r="B528" s="531" t="s">
        <v>130</v>
      </c>
      <c r="C528" s="208" t="s">
        <v>129</v>
      </c>
      <c r="D528" s="209" t="s">
        <v>44</v>
      </c>
      <c r="E528" s="209" t="s">
        <v>42</v>
      </c>
      <c r="F528" s="210" t="s">
        <v>43</v>
      </c>
      <c r="G528" s="33"/>
      <c r="H528" s="217">
        <f>H529+H535+H533</f>
        <v>7055.7999999999984</v>
      </c>
    </row>
    <row r="529" spans="1:8" ht="36" x14ac:dyDescent="0.35">
      <c r="A529" s="329"/>
      <c r="B529" s="493" t="s">
        <v>46</v>
      </c>
      <c r="C529" s="208" t="s">
        <v>129</v>
      </c>
      <c r="D529" s="209" t="s">
        <v>44</v>
      </c>
      <c r="E529" s="209" t="s">
        <v>42</v>
      </c>
      <c r="F529" s="210" t="s">
        <v>47</v>
      </c>
      <c r="G529" s="33"/>
      <c r="H529" s="217">
        <f>H530+H531+H532</f>
        <v>5840.3999999999987</v>
      </c>
    </row>
    <row r="530" spans="1:8" ht="90" x14ac:dyDescent="0.35">
      <c r="A530" s="329"/>
      <c r="B530" s="509" t="s">
        <v>48</v>
      </c>
      <c r="C530" s="208" t="s">
        <v>129</v>
      </c>
      <c r="D530" s="209" t="s">
        <v>44</v>
      </c>
      <c r="E530" s="209" t="s">
        <v>42</v>
      </c>
      <c r="F530" s="210" t="s">
        <v>47</v>
      </c>
      <c r="G530" s="33" t="s">
        <v>49</v>
      </c>
      <c r="H530" s="217">
        <f>'прил8 (ведом 24)'!M271</f>
        <v>5497.6999999999989</v>
      </c>
    </row>
    <row r="531" spans="1:8" ht="36" x14ac:dyDescent="0.35">
      <c r="A531" s="329"/>
      <c r="B531" s="493" t="s">
        <v>53</v>
      </c>
      <c r="C531" s="208" t="s">
        <v>129</v>
      </c>
      <c r="D531" s="209" t="s">
        <v>44</v>
      </c>
      <c r="E531" s="209" t="s">
        <v>42</v>
      </c>
      <c r="F531" s="210" t="s">
        <v>47</v>
      </c>
      <c r="G531" s="33" t="s">
        <v>54</v>
      </c>
      <c r="H531" s="217">
        <f>'прил8 (ведом 24)'!M272</f>
        <v>323.7</v>
      </c>
    </row>
    <row r="532" spans="1:8" ht="18" x14ac:dyDescent="0.35">
      <c r="A532" s="329"/>
      <c r="B532" s="493" t="s">
        <v>55</v>
      </c>
      <c r="C532" s="208" t="s">
        <v>129</v>
      </c>
      <c r="D532" s="209" t="s">
        <v>44</v>
      </c>
      <c r="E532" s="209" t="s">
        <v>42</v>
      </c>
      <c r="F532" s="210" t="s">
        <v>47</v>
      </c>
      <c r="G532" s="33" t="s">
        <v>56</v>
      </c>
      <c r="H532" s="217">
        <f>'прил8 (ведом 24)'!M273</f>
        <v>19</v>
      </c>
    </row>
    <row r="533" spans="1:8" ht="36" x14ac:dyDescent="0.35">
      <c r="A533" s="329"/>
      <c r="B533" s="494" t="s">
        <v>496</v>
      </c>
      <c r="C533" s="676" t="s">
        <v>129</v>
      </c>
      <c r="D533" s="677" t="s">
        <v>44</v>
      </c>
      <c r="E533" s="677" t="s">
        <v>42</v>
      </c>
      <c r="F533" s="677" t="s">
        <v>495</v>
      </c>
      <c r="G533" s="15"/>
      <c r="H533" s="217">
        <f>H534</f>
        <v>48.3</v>
      </c>
    </row>
    <row r="534" spans="1:8" ht="36" x14ac:dyDescent="0.35">
      <c r="A534" s="329"/>
      <c r="B534" s="494" t="s">
        <v>53</v>
      </c>
      <c r="C534" s="676" t="s">
        <v>129</v>
      </c>
      <c r="D534" s="677" t="s">
        <v>44</v>
      </c>
      <c r="E534" s="677" t="s">
        <v>42</v>
      </c>
      <c r="F534" s="677" t="s">
        <v>495</v>
      </c>
      <c r="G534" s="484" t="s">
        <v>54</v>
      </c>
      <c r="H534" s="217">
        <f>'прил8 (ведом 24)'!M281</f>
        <v>48.3</v>
      </c>
    </row>
    <row r="535" spans="1:8" ht="36" x14ac:dyDescent="0.35">
      <c r="A535" s="329"/>
      <c r="B535" s="493" t="s">
        <v>232</v>
      </c>
      <c r="C535" s="208" t="s">
        <v>129</v>
      </c>
      <c r="D535" s="209" t="s">
        <v>44</v>
      </c>
      <c r="E535" s="209" t="s">
        <v>42</v>
      </c>
      <c r="F535" s="210" t="s">
        <v>131</v>
      </c>
      <c r="G535" s="33"/>
      <c r="H535" s="217">
        <f>SUM(H536:H536)</f>
        <v>1167.0999999999999</v>
      </c>
    </row>
    <row r="536" spans="1:8" ht="90" x14ac:dyDescent="0.35">
      <c r="A536" s="329"/>
      <c r="B536" s="493" t="s">
        <v>48</v>
      </c>
      <c r="C536" s="208" t="s">
        <v>129</v>
      </c>
      <c r="D536" s="209" t="s">
        <v>44</v>
      </c>
      <c r="E536" s="209" t="s">
        <v>42</v>
      </c>
      <c r="F536" s="210" t="s">
        <v>131</v>
      </c>
      <c r="G536" s="33" t="s">
        <v>49</v>
      </c>
      <c r="H536" s="217">
        <f>'прил8 (ведом 24)'!M275</f>
        <v>1167.0999999999999</v>
      </c>
    </row>
    <row r="537" spans="1:8" ht="18" x14ac:dyDescent="0.35">
      <c r="A537" s="329"/>
      <c r="B537" s="494"/>
      <c r="C537" s="209"/>
      <c r="D537" s="209"/>
      <c r="E537" s="209"/>
      <c r="F537" s="209"/>
      <c r="G537" s="33"/>
      <c r="H537" s="217"/>
    </row>
    <row r="538" spans="1:8" ht="87.6" x14ac:dyDescent="0.35">
      <c r="A538" s="344">
        <v>18</v>
      </c>
      <c r="B538" s="658" t="s">
        <v>662</v>
      </c>
      <c r="C538" s="388" t="s">
        <v>663</v>
      </c>
      <c r="D538" s="389" t="s">
        <v>41</v>
      </c>
      <c r="E538" s="389" t="s">
        <v>42</v>
      </c>
      <c r="F538" s="390" t="s">
        <v>43</v>
      </c>
      <c r="G538" s="238"/>
      <c r="H538" s="251">
        <f>H539</f>
        <v>972.6</v>
      </c>
    </row>
    <row r="539" spans="1:8" ht="90" x14ac:dyDescent="0.35">
      <c r="A539" s="329"/>
      <c r="B539" s="659" t="s">
        <v>664</v>
      </c>
      <c r="C539" s="208" t="s">
        <v>663</v>
      </c>
      <c r="D539" s="209" t="s">
        <v>87</v>
      </c>
      <c r="E539" s="209" t="s">
        <v>42</v>
      </c>
      <c r="F539" s="210" t="s">
        <v>43</v>
      </c>
      <c r="G539" s="33"/>
      <c r="H539" s="217">
        <f>H540</f>
        <v>972.6</v>
      </c>
    </row>
    <row r="540" spans="1:8" ht="72" x14ac:dyDescent="0.35">
      <c r="A540" s="329"/>
      <c r="B540" s="504" t="s">
        <v>667</v>
      </c>
      <c r="C540" s="208" t="s">
        <v>663</v>
      </c>
      <c r="D540" s="209" t="s">
        <v>87</v>
      </c>
      <c r="E540" s="209" t="s">
        <v>36</v>
      </c>
      <c r="F540" s="210" t="s">
        <v>43</v>
      </c>
      <c r="G540" s="33"/>
      <c r="H540" s="217">
        <f>H541</f>
        <v>972.6</v>
      </c>
    </row>
    <row r="541" spans="1:8" ht="72" x14ac:dyDescent="0.35">
      <c r="A541" s="329"/>
      <c r="B541" s="659" t="s">
        <v>665</v>
      </c>
      <c r="C541" s="208" t="s">
        <v>663</v>
      </c>
      <c r="D541" s="209" t="s">
        <v>87</v>
      </c>
      <c r="E541" s="209" t="s">
        <v>36</v>
      </c>
      <c r="F541" s="210" t="s">
        <v>666</v>
      </c>
      <c r="G541" s="33"/>
      <c r="H541" s="217">
        <f>H542</f>
        <v>972.6</v>
      </c>
    </row>
    <row r="542" spans="1:8" ht="18" x14ac:dyDescent="0.35">
      <c r="A542" s="329"/>
      <c r="B542" s="659" t="s">
        <v>121</v>
      </c>
      <c r="C542" s="208" t="s">
        <v>663</v>
      </c>
      <c r="D542" s="209" t="s">
        <v>87</v>
      </c>
      <c r="E542" s="209" t="s">
        <v>36</v>
      </c>
      <c r="F542" s="210" t="s">
        <v>666</v>
      </c>
      <c r="G542" s="33" t="s">
        <v>122</v>
      </c>
      <c r="H542" s="217">
        <f>'прил8 (ведом 24)'!M213</f>
        <v>972.6</v>
      </c>
    </row>
    <row r="543" spans="1:8" ht="18" x14ac:dyDescent="0.35">
      <c r="A543" s="329"/>
      <c r="B543" s="497"/>
      <c r="C543" s="677"/>
      <c r="D543" s="677"/>
      <c r="E543" s="677"/>
      <c r="F543" s="677"/>
      <c r="G543" s="269"/>
      <c r="H543" s="217"/>
    </row>
    <row r="544" spans="1:8" s="339" customFormat="1" ht="39" customHeight="1" x14ac:dyDescent="0.3">
      <c r="A544" s="344">
        <v>19</v>
      </c>
      <c r="B544" s="530" t="s">
        <v>530</v>
      </c>
      <c r="C544" s="345" t="s">
        <v>66</v>
      </c>
      <c r="D544" s="345" t="s">
        <v>41</v>
      </c>
      <c r="E544" s="345" t="s">
        <v>42</v>
      </c>
      <c r="F544" s="345" t="s">
        <v>43</v>
      </c>
      <c r="G544" s="338"/>
      <c r="H544" s="251">
        <f>H545</f>
        <v>54547.209049999998</v>
      </c>
    </row>
    <row r="545" spans="1:8" ht="18" x14ac:dyDescent="0.35">
      <c r="A545" s="329"/>
      <c r="B545" s="509" t="s">
        <v>437</v>
      </c>
      <c r="C545" s="208" t="s">
        <v>66</v>
      </c>
      <c r="D545" s="209" t="s">
        <v>44</v>
      </c>
      <c r="E545" s="209" t="s">
        <v>42</v>
      </c>
      <c r="F545" s="210" t="s">
        <v>43</v>
      </c>
      <c r="G545" s="33"/>
      <c r="H545" s="217">
        <f>H546+H548+H550</f>
        <v>54547.209049999998</v>
      </c>
    </row>
    <row r="546" spans="1:8" ht="36" x14ac:dyDescent="0.35">
      <c r="A546" s="329"/>
      <c r="B546" s="497" t="s">
        <v>659</v>
      </c>
      <c r="C546" s="676" t="s">
        <v>66</v>
      </c>
      <c r="D546" s="677" t="s">
        <v>44</v>
      </c>
      <c r="E546" s="677" t="s">
        <v>42</v>
      </c>
      <c r="F546" s="678" t="s">
        <v>660</v>
      </c>
      <c r="G546" s="15"/>
      <c r="H546" s="217">
        <f>H547</f>
        <v>7255</v>
      </c>
    </row>
    <row r="547" spans="1:8" ht="36" x14ac:dyDescent="0.35">
      <c r="A547" s="329"/>
      <c r="B547" s="497" t="s">
        <v>53</v>
      </c>
      <c r="C547" s="676" t="s">
        <v>66</v>
      </c>
      <c r="D547" s="677" t="s">
        <v>44</v>
      </c>
      <c r="E547" s="677" t="s">
        <v>42</v>
      </c>
      <c r="F547" s="678" t="s">
        <v>660</v>
      </c>
      <c r="G547" s="15" t="s">
        <v>54</v>
      </c>
      <c r="H547" s="217">
        <f>'прил8 (ведом 24)'!M93</f>
        <v>7255</v>
      </c>
    </row>
    <row r="548" spans="1:8" ht="36" x14ac:dyDescent="0.35">
      <c r="A548" s="329"/>
      <c r="B548" s="509" t="s">
        <v>678</v>
      </c>
      <c r="C548" s="208" t="s">
        <v>66</v>
      </c>
      <c r="D548" s="209" t="s">
        <v>44</v>
      </c>
      <c r="E548" s="209" t="s">
        <v>42</v>
      </c>
      <c r="F548" s="210" t="s">
        <v>679</v>
      </c>
      <c r="G548" s="33"/>
      <c r="H548" s="217">
        <f>H549</f>
        <v>26942.400000000001</v>
      </c>
    </row>
    <row r="549" spans="1:8" ht="18" x14ac:dyDescent="0.35">
      <c r="A549" s="329"/>
      <c r="B549" s="509" t="s">
        <v>121</v>
      </c>
      <c r="C549" s="208" t="s">
        <v>66</v>
      </c>
      <c r="D549" s="209" t="s">
        <v>44</v>
      </c>
      <c r="E549" s="209" t="s">
        <v>42</v>
      </c>
      <c r="F549" s="210" t="s">
        <v>679</v>
      </c>
      <c r="G549" s="33">
        <v>500</v>
      </c>
      <c r="H549" s="217">
        <f>'прил8 (ведом 24)'!M217</f>
        <v>26942.400000000001</v>
      </c>
    </row>
    <row r="550" spans="1:8" ht="36" x14ac:dyDescent="0.35">
      <c r="A550" s="329"/>
      <c r="B550" s="493" t="s">
        <v>435</v>
      </c>
      <c r="C550" s="208" t="s">
        <v>66</v>
      </c>
      <c r="D550" s="209" t="s">
        <v>44</v>
      </c>
      <c r="E550" s="209" t="s">
        <v>42</v>
      </c>
      <c r="F550" s="210" t="s">
        <v>67</v>
      </c>
      <c r="G550" s="33"/>
      <c r="H550" s="217">
        <f>H551</f>
        <v>20349.809049999996</v>
      </c>
    </row>
    <row r="551" spans="1:8" ht="18" x14ac:dyDescent="0.35">
      <c r="A551" s="329"/>
      <c r="B551" s="493" t="s">
        <v>55</v>
      </c>
      <c r="C551" s="208" t="s">
        <v>66</v>
      </c>
      <c r="D551" s="209" t="s">
        <v>44</v>
      </c>
      <c r="E551" s="209" t="s">
        <v>42</v>
      </c>
      <c r="F551" s="210" t="s">
        <v>67</v>
      </c>
      <c r="G551" s="33" t="s">
        <v>56</v>
      </c>
      <c r="H551" s="217">
        <f>'прил8 (ведом 24)'!M54</f>
        <v>20349.809049999996</v>
      </c>
    </row>
    <row r="552" spans="1:8" ht="18" x14ac:dyDescent="0.35">
      <c r="A552" s="421"/>
      <c r="B552" s="660"/>
      <c r="C552" s="78"/>
      <c r="D552" s="78"/>
      <c r="E552" s="78"/>
      <c r="F552" s="78"/>
      <c r="G552" s="78"/>
      <c r="H552" s="423"/>
    </row>
    <row r="553" spans="1:8" ht="14.4" customHeight="1" x14ac:dyDescent="0.35">
      <c r="A553" s="421"/>
      <c r="B553" s="422"/>
      <c r="C553" s="78"/>
      <c r="D553" s="78"/>
      <c r="E553" s="78"/>
      <c r="F553" s="78"/>
      <c r="G553" s="78"/>
      <c r="H553" s="423"/>
    </row>
    <row r="554" spans="1:8" ht="18" x14ac:dyDescent="0.35">
      <c r="A554" s="421"/>
      <c r="B554" s="422"/>
      <c r="C554" s="78"/>
      <c r="D554" s="78"/>
      <c r="E554" s="78"/>
      <c r="F554" s="78"/>
      <c r="G554" s="78"/>
      <c r="H554" s="423"/>
    </row>
    <row r="555" spans="1:8" ht="17.399999999999999" x14ac:dyDescent="0.3">
      <c r="A555" s="325"/>
      <c r="B555" s="46"/>
      <c r="C555" s="47"/>
      <c r="D555" s="47"/>
      <c r="E555" s="47"/>
      <c r="F555" s="47"/>
      <c r="G555" s="48"/>
    </row>
    <row r="556" spans="1:8" ht="18" x14ac:dyDescent="0.35">
      <c r="A556" s="663" t="s">
        <v>371</v>
      </c>
      <c r="B556" s="46"/>
      <c r="C556" s="47"/>
      <c r="D556" s="47"/>
      <c r="E556" s="47"/>
      <c r="F556" s="47"/>
      <c r="G556" s="48"/>
    </row>
    <row r="557" spans="1:8" ht="18" x14ac:dyDescent="0.35">
      <c r="A557" s="663" t="s">
        <v>372</v>
      </c>
      <c r="B557" s="46"/>
      <c r="C557" s="47"/>
      <c r="D557" s="47"/>
      <c r="E557" s="47"/>
      <c r="F557" s="47"/>
      <c r="G557" s="48"/>
    </row>
    <row r="558" spans="1:8" ht="18" x14ac:dyDescent="0.35">
      <c r="A558" s="664" t="s">
        <v>373</v>
      </c>
      <c r="B558" s="46"/>
      <c r="C558" s="50"/>
      <c r="D558" s="47"/>
      <c r="E558" s="47"/>
      <c r="F558" s="47"/>
      <c r="G558" s="50"/>
      <c r="H558" s="613" t="s">
        <v>383</v>
      </c>
    </row>
    <row r="559" spans="1:8" ht="18" x14ac:dyDescent="0.35">
      <c r="A559" s="614"/>
      <c r="B559" s="46"/>
      <c r="C559" s="47"/>
      <c r="D559" s="47"/>
      <c r="E559" s="47"/>
      <c r="F559" s="47"/>
    </row>
    <row r="560" spans="1:8" x14ac:dyDescent="0.3">
      <c r="A560" s="325"/>
      <c r="B560" s="46"/>
      <c r="C560" s="47"/>
      <c r="D560" s="47"/>
      <c r="E560" s="47"/>
      <c r="F560" s="47"/>
    </row>
    <row r="561" spans="1:8" x14ac:dyDescent="0.3">
      <c r="A561" s="325"/>
      <c r="B561" s="46"/>
      <c r="C561" s="47"/>
      <c r="D561" s="47"/>
      <c r="E561" s="47"/>
      <c r="F561" s="47"/>
    </row>
    <row r="562" spans="1:8" ht="17.399999999999999" x14ac:dyDescent="0.3">
      <c r="A562" s="325"/>
      <c r="B562" s="46"/>
      <c r="C562" s="47"/>
      <c r="D562" s="47"/>
      <c r="E562" s="47"/>
      <c r="F562" s="47"/>
      <c r="G562" s="48"/>
    </row>
    <row r="563" spans="1:8" hidden="1" x14ac:dyDescent="0.3">
      <c r="A563" s="323">
        <v>1</v>
      </c>
      <c r="B563" s="395" t="s">
        <v>233</v>
      </c>
      <c r="H563" s="324">
        <f>H14+H151+H211+H252+H279+H310+H336+H372+H426+H435+H441+H451+H457+H463+H412+H521</f>
        <v>2367131.6549200001</v>
      </c>
    </row>
    <row r="564" spans="1:8" hidden="1" x14ac:dyDescent="0.3"/>
    <row r="565" spans="1:8" hidden="1" x14ac:dyDescent="0.3">
      <c r="H565" s="324">
        <f>(H563/H13)*100</f>
        <v>97.424561798948773</v>
      </c>
    </row>
    <row r="566" spans="1:8" hidden="1" x14ac:dyDescent="0.3"/>
    <row r="567" spans="1:8" hidden="1" x14ac:dyDescent="0.3">
      <c r="A567" s="323">
        <v>1</v>
      </c>
      <c r="B567" s="395" t="s">
        <v>234</v>
      </c>
      <c r="H567" s="324">
        <f>H527+H544</f>
        <v>61603.009049999993</v>
      </c>
    </row>
    <row r="568" spans="1:8" hidden="1" x14ac:dyDescent="0.3">
      <c r="H568" s="324">
        <f>(H567/H569)*100</f>
        <v>2.5364240056303209</v>
      </c>
    </row>
    <row r="569" spans="1:8" hidden="1" x14ac:dyDescent="0.3">
      <c r="H569" s="324">
        <f>H563+H567</f>
        <v>2428734.6639700001</v>
      </c>
    </row>
  </sheetData>
  <autoFilter ref="A4:H569"/>
  <mergeCells count="3">
    <mergeCell ref="A8:H8"/>
    <mergeCell ref="C11:F11"/>
    <mergeCell ref="C12:F12"/>
  </mergeCells>
  <printOptions horizontalCentered="1"/>
  <pageMargins left="1.1811023622047245" right="0.39370078740157483" top="0.78740157480314965" bottom="0.39370078740157483" header="0" footer="0"/>
  <pageSetup paperSize="9" scale="76" fitToHeight="0" orientation="portrait" blackAndWhite="1" r:id="rId1"/>
  <headerFooter differentFirst="1" alignWithMargins="0">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443"/>
  <sheetViews>
    <sheetView zoomScale="80" zoomScaleNormal="80" zoomScaleSheetLayoutView="70" workbookViewId="0">
      <pane ySplit="6" topLeftCell="A7" activePane="bottomLeft" state="frozen"/>
      <selection activeCell="B19" sqref="B19"/>
      <selection pane="bottomLeft" activeCell="N8" sqref="N8"/>
    </sheetView>
  </sheetViews>
  <sheetFormatPr defaultColWidth="9.109375" defaultRowHeight="15.6" x14ac:dyDescent="0.3"/>
  <cols>
    <col min="1" max="1" width="4.5546875" style="323" customWidth="1"/>
    <col min="2" max="2" width="62.44140625" style="395" customWidth="1"/>
    <col min="3" max="3" width="3.109375" style="396" customWidth="1"/>
    <col min="4" max="4" width="2.33203125" style="396" customWidth="1"/>
    <col min="5" max="5" width="3" style="396" customWidth="1"/>
    <col min="6" max="6" width="8" style="396" customWidth="1"/>
    <col min="7" max="7" width="5.5546875" style="394" customWidth="1"/>
    <col min="8" max="8" width="14.109375" style="49" customWidth="1"/>
    <col min="9" max="9" width="13.33203125" style="50" customWidth="1"/>
    <col min="10" max="10" width="17.6640625" style="50" customWidth="1"/>
    <col min="11" max="11" width="16.44140625" style="50" hidden="1" customWidth="1"/>
    <col min="12" max="12" width="14.6640625" style="50" hidden="1" customWidth="1"/>
    <col min="13" max="16384" width="9.109375" style="50"/>
  </cols>
  <sheetData>
    <row r="1" spans="1:12" ht="18" x14ac:dyDescent="0.35">
      <c r="I1" s="158" t="s">
        <v>485</v>
      </c>
    </row>
    <row r="2" spans="1:12" ht="18" x14ac:dyDescent="0.35">
      <c r="I2" s="158" t="s">
        <v>697</v>
      </c>
    </row>
    <row r="4" spans="1:12" ht="18" x14ac:dyDescent="0.35">
      <c r="I4" s="158" t="s">
        <v>486</v>
      </c>
    </row>
    <row r="5" spans="1:12" ht="18" x14ac:dyDescent="0.35">
      <c r="I5" s="158" t="s">
        <v>630</v>
      </c>
    </row>
    <row r="6" spans="1:12" ht="18" x14ac:dyDescent="0.35">
      <c r="I6" s="158"/>
    </row>
    <row r="8" spans="1:12" ht="76.5" customHeight="1" x14ac:dyDescent="0.3">
      <c r="A8" s="704" t="s">
        <v>572</v>
      </c>
      <c r="B8" s="704"/>
      <c r="C8" s="704"/>
      <c r="D8" s="704"/>
      <c r="E8" s="704"/>
      <c r="F8" s="704"/>
      <c r="G8" s="704"/>
      <c r="H8" s="704"/>
      <c r="I8" s="704"/>
    </row>
    <row r="9" spans="1:12" x14ac:dyDescent="0.3">
      <c r="A9" s="50"/>
      <c r="B9" s="50"/>
      <c r="C9" s="323"/>
      <c r="D9" s="323"/>
      <c r="E9" s="323"/>
      <c r="F9" s="323"/>
      <c r="G9" s="324"/>
    </row>
    <row r="10" spans="1:12" ht="18" x14ac:dyDescent="0.35">
      <c r="A10" s="325"/>
      <c r="B10" s="46"/>
      <c r="C10" s="47"/>
      <c r="D10" s="47"/>
      <c r="E10" s="47"/>
      <c r="F10" s="47"/>
      <c r="G10" s="50"/>
      <c r="I10" s="326" t="s">
        <v>21</v>
      </c>
    </row>
    <row r="11" spans="1:12" ht="18" x14ac:dyDescent="0.35">
      <c r="A11" s="712" t="s">
        <v>22</v>
      </c>
      <c r="B11" s="713" t="s">
        <v>23</v>
      </c>
      <c r="C11" s="713" t="s">
        <v>27</v>
      </c>
      <c r="D11" s="713"/>
      <c r="E11" s="713"/>
      <c r="F11" s="713"/>
      <c r="G11" s="713" t="s">
        <v>28</v>
      </c>
      <c r="H11" s="711" t="s">
        <v>15</v>
      </c>
      <c r="I11" s="711"/>
    </row>
    <row r="12" spans="1:12" ht="40.950000000000003" customHeight="1" x14ac:dyDescent="0.3">
      <c r="A12" s="712"/>
      <c r="B12" s="713"/>
      <c r="C12" s="713"/>
      <c r="D12" s="713"/>
      <c r="E12" s="713"/>
      <c r="F12" s="713"/>
      <c r="G12" s="713"/>
      <c r="H12" s="327" t="s">
        <v>527</v>
      </c>
      <c r="I12" s="327" t="s">
        <v>568</v>
      </c>
    </row>
    <row r="13" spans="1:12" ht="18" x14ac:dyDescent="0.35">
      <c r="A13" s="226">
        <v>1</v>
      </c>
      <c r="B13" s="328">
        <v>2</v>
      </c>
      <c r="C13" s="708" t="s">
        <v>29</v>
      </c>
      <c r="D13" s="709"/>
      <c r="E13" s="709"/>
      <c r="F13" s="710"/>
      <c r="G13" s="238" t="s">
        <v>30</v>
      </c>
      <c r="H13" s="227">
        <v>5</v>
      </c>
      <c r="I13" s="227">
        <v>6</v>
      </c>
    </row>
    <row r="14" spans="1:12" ht="18" x14ac:dyDescent="0.35">
      <c r="A14" s="329"/>
      <c r="B14" s="330" t="s">
        <v>199</v>
      </c>
      <c r="C14" s="331"/>
      <c r="D14" s="331"/>
      <c r="E14" s="331"/>
      <c r="F14" s="331"/>
      <c r="G14" s="332"/>
      <c r="H14" s="333">
        <f>H15+H119+H159+H196+H219+H244+H263+H287+H330+H339+H345+H355+H367+H413+H420+H425+H361+H324</f>
        <v>2079560.3999999997</v>
      </c>
      <c r="I14" s="333">
        <f>I15+I119+I159+I196+I219+I244+I263+I287+I330+I339+I345+I355+I367+I413+I420+I425+I361+I324</f>
        <v>2148415</v>
      </c>
      <c r="J14" s="334"/>
      <c r="K14" s="447">
        <f>H14-'прил9 (ведом 25-26)'!M16</f>
        <v>0</v>
      </c>
      <c r="L14" s="432">
        <f>I14-'прил9 (ведом 25-26)'!N16</f>
        <v>0</v>
      </c>
    </row>
    <row r="15" spans="1:12" s="339" customFormat="1" ht="52.2" x14ac:dyDescent="0.3">
      <c r="A15" s="335">
        <v>1</v>
      </c>
      <c r="B15" s="492" t="s">
        <v>202</v>
      </c>
      <c r="C15" s="336" t="s">
        <v>38</v>
      </c>
      <c r="D15" s="336" t="s">
        <v>41</v>
      </c>
      <c r="E15" s="336" t="s">
        <v>42</v>
      </c>
      <c r="F15" s="337" t="s">
        <v>43</v>
      </c>
      <c r="G15" s="338"/>
      <c r="H15" s="251">
        <f>H16+H71+H90</f>
        <v>1409776.7999999998</v>
      </c>
      <c r="I15" s="251">
        <f>I16+I71+I90</f>
        <v>1439497.2</v>
      </c>
    </row>
    <row r="16" spans="1:12" ht="18" x14ac:dyDescent="0.35">
      <c r="A16" s="329"/>
      <c r="B16" s="493" t="s">
        <v>203</v>
      </c>
      <c r="C16" s="670" t="s">
        <v>38</v>
      </c>
      <c r="D16" s="670" t="s">
        <v>44</v>
      </c>
      <c r="E16" s="670" t="s">
        <v>42</v>
      </c>
      <c r="F16" s="671" t="s">
        <v>43</v>
      </c>
      <c r="G16" s="238"/>
      <c r="H16" s="217">
        <f>H17+H31+H67</f>
        <v>1231731.2999999998</v>
      </c>
      <c r="I16" s="217">
        <f>I17+I31+I67</f>
        <v>1261977.7</v>
      </c>
    </row>
    <row r="17" spans="1:9" ht="18" x14ac:dyDescent="0.35">
      <c r="A17" s="329"/>
      <c r="B17" s="493" t="s">
        <v>263</v>
      </c>
      <c r="C17" s="208" t="s">
        <v>38</v>
      </c>
      <c r="D17" s="209" t="s">
        <v>44</v>
      </c>
      <c r="E17" s="209" t="s">
        <v>36</v>
      </c>
      <c r="F17" s="210" t="s">
        <v>43</v>
      </c>
      <c r="G17" s="238"/>
      <c r="H17" s="217">
        <f>H24+H20+H27+H29+H18+H22</f>
        <v>446525.9</v>
      </c>
      <c r="I17" s="217">
        <f>I24+I20+I27+I29+I18+I22</f>
        <v>456845.3</v>
      </c>
    </row>
    <row r="18" spans="1:9" ht="36" x14ac:dyDescent="0.35">
      <c r="A18" s="329"/>
      <c r="B18" s="493" t="s">
        <v>454</v>
      </c>
      <c r="C18" s="208" t="s">
        <v>38</v>
      </c>
      <c r="D18" s="209" t="s">
        <v>44</v>
      </c>
      <c r="E18" s="209" t="s">
        <v>36</v>
      </c>
      <c r="F18" s="210" t="s">
        <v>89</v>
      </c>
      <c r="G18" s="33"/>
      <c r="H18" s="217">
        <f>H19</f>
        <v>110353.1</v>
      </c>
      <c r="I18" s="217">
        <f>I19</f>
        <v>111385</v>
      </c>
    </row>
    <row r="19" spans="1:9" ht="36" x14ac:dyDescent="0.35">
      <c r="A19" s="329"/>
      <c r="B19" s="493" t="s">
        <v>74</v>
      </c>
      <c r="C19" s="208" t="s">
        <v>38</v>
      </c>
      <c r="D19" s="209" t="s">
        <v>44</v>
      </c>
      <c r="E19" s="209" t="s">
        <v>36</v>
      </c>
      <c r="F19" s="210" t="s">
        <v>89</v>
      </c>
      <c r="G19" s="33" t="s">
        <v>75</v>
      </c>
      <c r="H19" s="217">
        <f>'прил9 (ведом 25-26)'!M287</f>
        <v>110353.1</v>
      </c>
      <c r="I19" s="217">
        <f>'прил9 (ведом 25-26)'!N287</f>
        <v>111385</v>
      </c>
    </row>
    <row r="20" spans="1:9" ht="36" x14ac:dyDescent="0.35">
      <c r="A20" s="329"/>
      <c r="B20" s="494" t="s">
        <v>204</v>
      </c>
      <c r="C20" s="208" t="s">
        <v>38</v>
      </c>
      <c r="D20" s="209" t="s">
        <v>44</v>
      </c>
      <c r="E20" s="209" t="s">
        <v>36</v>
      </c>
      <c r="F20" s="210" t="s">
        <v>269</v>
      </c>
      <c r="G20" s="33"/>
      <c r="H20" s="217">
        <f>H21</f>
        <v>30842.2</v>
      </c>
      <c r="I20" s="217">
        <f>I21</f>
        <v>23747.8</v>
      </c>
    </row>
    <row r="21" spans="1:9" ht="36" x14ac:dyDescent="0.35">
      <c r="A21" s="329"/>
      <c r="B21" s="494" t="s">
        <v>74</v>
      </c>
      <c r="C21" s="208" t="s">
        <v>38</v>
      </c>
      <c r="D21" s="209" t="s">
        <v>44</v>
      </c>
      <c r="E21" s="209" t="s">
        <v>36</v>
      </c>
      <c r="F21" s="210" t="s">
        <v>269</v>
      </c>
      <c r="G21" s="33" t="s">
        <v>75</v>
      </c>
      <c r="H21" s="217">
        <f>'прил9 (ведом 25-26)'!M289</f>
        <v>30842.2</v>
      </c>
      <c r="I21" s="217">
        <f>'прил9 (ведом 25-26)'!N289</f>
        <v>23747.8</v>
      </c>
    </row>
    <row r="22" spans="1:9" ht="36" x14ac:dyDescent="0.35">
      <c r="A22" s="329"/>
      <c r="B22" s="494" t="s">
        <v>205</v>
      </c>
      <c r="C22" s="340" t="s">
        <v>38</v>
      </c>
      <c r="D22" s="341" t="s">
        <v>44</v>
      </c>
      <c r="E22" s="341" t="s">
        <v>36</v>
      </c>
      <c r="F22" s="342" t="s">
        <v>270</v>
      </c>
      <c r="G22" s="343"/>
      <c r="H22" s="217">
        <f>H23</f>
        <v>859.1</v>
      </c>
      <c r="I22" s="217">
        <f>I23</f>
        <v>0</v>
      </c>
    </row>
    <row r="23" spans="1:9" ht="36" x14ac:dyDescent="0.35">
      <c r="A23" s="329"/>
      <c r="B23" s="495" t="s">
        <v>200</v>
      </c>
      <c r="C23" s="340" t="s">
        <v>38</v>
      </c>
      <c r="D23" s="341" t="s">
        <v>44</v>
      </c>
      <c r="E23" s="341" t="s">
        <v>36</v>
      </c>
      <c r="F23" s="342" t="s">
        <v>270</v>
      </c>
      <c r="G23" s="343" t="s">
        <v>201</v>
      </c>
      <c r="H23" s="217">
        <f>'прил9 (ведом 25-26)'!M250</f>
        <v>859.1</v>
      </c>
      <c r="I23" s="217">
        <f>'прил9 (ведом 25-26)'!N250</f>
        <v>0</v>
      </c>
    </row>
    <row r="24" spans="1:9" ht="108" x14ac:dyDescent="0.35">
      <c r="A24" s="329"/>
      <c r="B24" s="493" t="s">
        <v>279</v>
      </c>
      <c r="C24" s="208" t="s">
        <v>38</v>
      </c>
      <c r="D24" s="209" t="s">
        <v>44</v>
      </c>
      <c r="E24" s="209" t="s">
        <v>36</v>
      </c>
      <c r="F24" s="210" t="s">
        <v>280</v>
      </c>
      <c r="G24" s="33"/>
      <c r="H24" s="217">
        <f>SUM(H25:H26)</f>
        <v>8438.2000000000007</v>
      </c>
      <c r="I24" s="217">
        <f>SUM(I25:I26)</f>
        <v>8438.2000000000007</v>
      </c>
    </row>
    <row r="25" spans="1:9" ht="36" x14ac:dyDescent="0.35">
      <c r="A25" s="329"/>
      <c r="B25" s="493" t="s">
        <v>53</v>
      </c>
      <c r="C25" s="208" t="s">
        <v>38</v>
      </c>
      <c r="D25" s="209" t="s">
        <v>44</v>
      </c>
      <c r="E25" s="209" t="s">
        <v>36</v>
      </c>
      <c r="F25" s="210" t="s">
        <v>280</v>
      </c>
      <c r="G25" s="33" t="s">
        <v>54</v>
      </c>
      <c r="H25" s="217">
        <f>'прил9 (ведом 25-26)'!M382</f>
        <v>124.7</v>
      </c>
      <c r="I25" s="217">
        <f>'прил9 (ведом 25-26)'!N382</f>
        <v>124.7</v>
      </c>
    </row>
    <row r="26" spans="1:9" ht="18" x14ac:dyDescent="0.35">
      <c r="A26" s="329"/>
      <c r="B26" s="496" t="s">
        <v>118</v>
      </c>
      <c r="C26" s="208" t="s">
        <v>38</v>
      </c>
      <c r="D26" s="209" t="s">
        <v>44</v>
      </c>
      <c r="E26" s="209" t="s">
        <v>36</v>
      </c>
      <c r="F26" s="210" t="s">
        <v>280</v>
      </c>
      <c r="G26" s="33" t="s">
        <v>119</v>
      </c>
      <c r="H26" s="217">
        <f>'прил9 (ведом 25-26)'!M383</f>
        <v>8313.5</v>
      </c>
      <c r="I26" s="217">
        <f>'прил9 (ведом 25-26)'!N383</f>
        <v>8313.5</v>
      </c>
    </row>
    <row r="27" spans="1:9" ht="162" x14ac:dyDescent="0.35">
      <c r="A27" s="329"/>
      <c r="B27" s="493" t="s">
        <v>264</v>
      </c>
      <c r="C27" s="208" t="s">
        <v>38</v>
      </c>
      <c r="D27" s="209" t="s">
        <v>44</v>
      </c>
      <c r="E27" s="209" t="s">
        <v>36</v>
      </c>
      <c r="F27" s="210" t="s">
        <v>265</v>
      </c>
      <c r="G27" s="33"/>
      <c r="H27" s="217">
        <f>H28</f>
        <v>655.8</v>
      </c>
      <c r="I27" s="217">
        <f>I28</f>
        <v>682</v>
      </c>
    </row>
    <row r="28" spans="1:9" ht="36" x14ac:dyDescent="0.35">
      <c r="A28" s="329"/>
      <c r="B28" s="493" t="s">
        <v>74</v>
      </c>
      <c r="C28" s="208" t="s">
        <v>38</v>
      </c>
      <c r="D28" s="209" t="s">
        <v>44</v>
      </c>
      <c r="E28" s="209" t="s">
        <v>36</v>
      </c>
      <c r="F28" s="210" t="s">
        <v>265</v>
      </c>
      <c r="G28" s="33" t="s">
        <v>75</v>
      </c>
      <c r="H28" s="217">
        <f>'прил9 (ведом 25-26)'!M291</f>
        <v>655.8</v>
      </c>
      <c r="I28" s="217">
        <f>'прил9 (ведом 25-26)'!N291</f>
        <v>682</v>
      </c>
    </row>
    <row r="29" spans="1:9" ht="90" x14ac:dyDescent="0.35">
      <c r="A29" s="329"/>
      <c r="B29" s="493" t="s">
        <v>341</v>
      </c>
      <c r="C29" s="208" t="s">
        <v>38</v>
      </c>
      <c r="D29" s="209" t="s">
        <v>44</v>
      </c>
      <c r="E29" s="209" t="s">
        <v>36</v>
      </c>
      <c r="F29" s="210" t="s">
        <v>266</v>
      </c>
      <c r="G29" s="33"/>
      <c r="H29" s="217">
        <f>H30</f>
        <v>295377.5</v>
      </c>
      <c r="I29" s="217">
        <f>I30</f>
        <v>312592.3</v>
      </c>
    </row>
    <row r="30" spans="1:9" ht="36" x14ac:dyDescent="0.35">
      <c r="A30" s="329"/>
      <c r="B30" s="496" t="s">
        <v>74</v>
      </c>
      <c r="C30" s="208" t="s">
        <v>38</v>
      </c>
      <c r="D30" s="209" t="s">
        <v>44</v>
      </c>
      <c r="E30" s="209" t="s">
        <v>36</v>
      </c>
      <c r="F30" s="210" t="s">
        <v>266</v>
      </c>
      <c r="G30" s="33" t="s">
        <v>75</v>
      </c>
      <c r="H30" s="217">
        <f>'прил9 (ведом 25-26)'!M293</f>
        <v>295377.5</v>
      </c>
      <c r="I30" s="217">
        <f>'прил9 (ведом 25-26)'!N293</f>
        <v>312592.3</v>
      </c>
    </row>
    <row r="31" spans="1:9" ht="18" x14ac:dyDescent="0.35">
      <c r="A31" s="329"/>
      <c r="B31" s="493" t="s">
        <v>268</v>
      </c>
      <c r="C31" s="208" t="s">
        <v>38</v>
      </c>
      <c r="D31" s="209" t="s">
        <v>44</v>
      </c>
      <c r="E31" s="209" t="s">
        <v>38</v>
      </c>
      <c r="F31" s="210" t="s">
        <v>43</v>
      </c>
      <c r="G31" s="33"/>
      <c r="H31" s="217">
        <f>H44+H48+H52+H32+H40+H57+H60+H37+H63+H55</f>
        <v>779459.49999999988</v>
      </c>
      <c r="I31" s="217">
        <f>I44+I48+I52+I32+I40+I57+I60+I37+I63+I55</f>
        <v>798186</v>
      </c>
    </row>
    <row r="32" spans="1:9" ht="36" x14ac:dyDescent="0.35">
      <c r="A32" s="329"/>
      <c r="B32" s="493" t="s">
        <v>454</v>
      </c>
      <c r="C32" s="208" t="s">
        <v>38</v>
      </c>
      <c r="D32" s="209" t="s">
        <v>44</v>
      </c>
      <c r="E32" s="209" t="s">
        <v>38</v>
      </c>
      <c r="F32" s="210" t="s">
        <v>89</v>
      </c>
      <c r="G32" s="33"/>
      <c r="H32" s="217">
        <f>SUM(H33:H36)</f>
        <v>83040.900000000009</v>
      </c>
      <c r="I32" s="217">
        <f>SUM(I33:I36)</f>
        <v>85008.1</v>
      </c>
    </row>
    <row r="33" spans="1:9" ht="90" x14ac:dyDescent="0.35">
      <c r="A33" s="329"/>
      <c r="B33" s="494" t="s">
        <v>48</v>
      </c>
      <c r="C33" s="208" t="s">
        <v>38</v>
      </c>
      <c r="D33" s="209" t="s">
        <v>44</v>
      </c>
      <c r="E33" s="209" t="s">
        <v>38</v>
      </c>
      <c r="F33" s="210" t="s">
        <v>89</v>
      </c>
      <c r="G33" s="33" t="s">
        <v>49</v>
      </c>
      <c r="H33" s="217">
        <f>'прил9 (ведом 25-26)'!M299</f>
        <v>451</v>
      </c>
      <c r="I33" s="217">
        <f>'прил9 (ведом 25-26)'!N299</f>
        <v>451</v>
      </c>
    </row>
    <row r="34" spans="1:9" ht="36" x14ac:dyDescent="0.35">
      <c r="A34" s="329"/>
      <c r="B34" s="494" t="s">
        <v>53</v>
      </c>
      <c r="C34" s="208" t="s">
        <v>38</v>
      </c>
      <c r="D34" s="209" t="s">
        <v>44</v>
      </c>
      <c r="E34" s="209" t="s">
        <v>38</v>
      </c>
      <c r="F34" s="210" t="s">
        <v>89</v>
      </c>
      <c r="G34" s="33" t="s">
        <v>54</v>
      </c>
      <c r="H34" s="217">
        <f>'прил9 (ведом 25-26)'!M300</f>
        <v>7088.1</v>
      </c>
      <c r="I34" s="217">
        <f>'прил9 (ведом 25-26)'!N300</f>
        <v>7239.5</v>
      </c>
    </row>
    <row r="35" spans="1:9" ht="36" x14ac:dyDescent="0.35">
      <c r="A35" s="329"/>
      <c r="B35" s="493" t="s">
        <v>74</v>
      </c>
      <c r="C35" s="208" t="s">
        <v>38</v>
      </c>
      <c r="D35" s="209" t="s">
        <v>44</v>
      </c>
      <c r="E35" s="209" t="s">
        <v>38</v>
      </c>
      <c r="F35" s="210" t="s">
        <v>89</v>
      </c>
      <c r="G35" s="33" t="s">
        <v>75</v>
      </c>
      <c r="H35" s="217">
        <f>'прил9 (ведом 25-26)'!M301</f>
        <v>75162.8</v>
      </c>
      <c r="I35" s="217">
        <f>'прил9 (ведом 25-26)'!N301</f>
        <v>76989.3</v>
      </c>
    </row>
    <row r="36" spans="1:9" ht="18" x14ac:dyDescent="0.35">
      <c r="A36" s="329"/>
      <c r="B36" s="493" t="s">
        <v>55</v>
      </c>
      <c r="C36" s="208" t="s">
        <v>38</v>
      </c>
      <c r="D36" s="209" t="s">
        <v>44</v>
      </c>
      <c r="E36" s="209" t="s">
        <v>38</v>
      </c>
      <c r="F36" s="210" t="s">
        <v>89</v>
      </c>
      <c r="G36" s="33" t="s">
        <v>56</v>
      </c>
      <c r="H36" s="217">
        <f>'прил9 (ведом 25-26)'!M302</f>
        <v>339</v>
      </c>
      <c r="I36" s="217">
        <f>'прил9 (ведом 25-26)'!N302</f>
        <v>328.3</v>
      </c>
    </row>
    <row r="37" spans="1:9" ht="36" x14ac:dyDescent="0.35">
      <c r="A37" s="329"/>
      <c r="B37" s="494" t="s">
        <v>204</v>
      </c>
      <c r="C37" s="208" t="s">
        <v>38</v>
      </c>
      <c r="D37" s="209" t="s">
        <v>44</v>
      </c>
      <c r="E37" s="209" t="s">
        <v>38</v>
      </c>
      <c r="F37" s="210" t="s">
        <v>269</v>
      </c>
      <c r="G37" s="33"/>
      <c r="H37" s="217">
        <f>H38+H39</f>
        <v>28715.1</v>
      </c>
      <c r="I37" s="217">
        <f>I38+I39</f>
        <v>22110</v>
      </c>
    </row>
    <row r="38" spans="1:9" ht="36" x14ac:dyDescent="0.35">
      <c r="A38" s="329"/>
      <c r="B38" s="494" t="s">
        <v>53</v>
      </c>
      <c r="C38" s="208" t="s">
        <v>38</v>
      </c>
      <c r="D38" s="209" t="s">
        <v>44</v>
      </c>
      <c r="E38" s="209" t="s">
        <v>38</v>
      </c>
      <c r="F38" s="210" t="s">
        <v>269</v>
      </c>
      <c r="G38" s="33" t="s">
        <v>54</v>
      </c>
      <c r="H38" s="217">
        <f>'прил9 (ведом 25-26)'!M304</f>
        <v>4254.1000000000004</v>
      </c>
      <c r="I38" s="217">
        <f>'прил9 (ведом 25-26)'!N304</f>
        <v>3275.6</v>
      </c>
    </row>
    <row r="39" spans="1:9" ht="36" x14ac:dyDescent="0.35">
      <c r="A39" s="329"/>
      <c r="B39" s="494" t="s">
        <v>74</v>
      </c>
      <c r="C39" s="208" t="s">
        <v>38</v>
      </c>
      <c r="D39" s="209" t="s">
        <v>44</v>
      </c>
      <c r="E39" s="209" t="s">
        <v>38</v>
      </c>
      <c r="F39" s="210" t="s">
        <v>269</v>
      </c>
      <c r="G39" s="33" t="s">
        <v>75</v>
      </c>
      <c r="H39" s="217">
        <f>'прил9 (ведом 25-26)'!M305</f>
        <v>24461</v>
      </c>
      <c r="I39" s="217">
        <f>'прил9 (ведом 25-26)'!N305</f>
        <v>18834.400000000001</v>
      </c>
    </row>
    <row r="40" spans="1:9" ht="36" x14ac:dyDescent="0.35">
      <c r="A40" s="329"/>
      <c r="B40" s="494" t="s">
        <v>205</v>
      </c>
      <c r="C40" s="208" t="s">
        <v>38</v>
      </c>
      <c r="D40" s="209" t="s">
        <v>44</v>
      </c>
      <c r="E40" s="209" t="s">
        <v>38</v>
      </c>
      <c r="F40" s="210" t="s">
        <v>270</v>
      </c>
      <c r="G40" s="33"/>
      <c r="H40" s="217">
        <f>SUM(H41:H43)</f>
        <v>25846.6</v>
      </c>
      <c r="I40" s="217">
        <f>SUM(I41:I43)</f>
        <v>23835.5</v>
      </c>
    </row>
    <row r="41" spans="1:9" ht="36" x14ac:dyDescent="0.35">
      <c r="A41" s="329"/>
      <c r="B41" s="494" t="s">
        <v>53</v>
      </c>
      <c r="C41" s="208" t="s">
        <v>38</v>
      </c>
      <c r="D41" s="209" t="s">
        <v>44</v>
      </c>
      <c r="E41" s="209" t="s">
        <v>38</v>
      </c>
      <c r="F41" s="210" t="s">
        <v>270</v>
      </c>
      <c r="G41" s="33" t="s">
        <v>54</v>
      </c>
      <c r="H41" s="217">
        <f>'прил9 (ведом 25-26)'!M307</f>
        <v>609.1</v>
      </c>
      <c r="I41" s="217">
        <f>'прил9 (ведом 25-26)'!N307</f>
        <v>609.1</v>
      </c>
    </row>
    <row r="42" spans="1:9" ht="36" x14ac:dyDescent="0.35">
      <c r="A42" s="329"/>
      <c r="B42" s="495" t="s">
        <v>200</v>
      </c>
      <c r="C42" s="208" t="s">
        <v>38</v>
      </c>
      <c r="D42" s="209" t="s">
        <v>44</v>
      </c>
      <c r="E42" s="209" t="s">
        <v>38</v>
      </c>
      <c r="F42" s="210" t="s">
        <v>270</v>
      </c>
      <c r="G42" s="33" t="s">
        <v>201</v>
      </c>
      <c r="H42" s="217">
        <f>'прил9 (ведом 25-26)'!M256</f>
        <v>2000.2</v>
      </c>
      <c r="I42" s="217">
        <f>'прил9 (ведом 25-26)'!N256</f>
        <v>0</v>
      </c>
    </row>
    <row r="43" spans="1:9" ht="36" x14ac:dyDescent="0.35">
      <c r="A43" s="329"/>
      <c r="B43" s="494" t="s">
        <v>74</v>
      </c>
      <c r="C43" s="208" t="s">
        <v>38</v>
      </c>
      <c r="D43" s="209" t="s">
        <v>44</v>
      </c>
      <c r="E43" s="209" t="s">
        <v>38</v>
      </c>
      <c r="F43" s="210" t="s">
        <v>270</v>
      </c>
      <c r="G43" s="33" t="s">
        <v>75</v>
      </c>
      <c r="H43" s="217">
        <f>'прил9 (ведом 25-26)'!M308</f>
        <v>23237.3</v>
      </c>
      <c r="I43" s="217">
        <f>'прил9 (ведом 25-26)'!N308</f>
        <v>23226.400000000001</v>
      </c>
    </row>
    <row r="44" spans="1:9" ht="162" x14ac:dyDescent="0.35">
      <c r="A44" s="329"/>
      <c r="B44" s="493" t="s">
        <v>264</v>
      </c>
      <c r="C44" s="208" t="s">
        <v>38</v>
      </c>
      <c r="D44" s="209" t="s">
        <v>44</v>
      </c>
      <c r="E44" s="209" t="s">
        <v>38</v>
      </c>
      <c r="F44" s="210" t="s">
        <v>265</v>
      </c>
      <c r="G44" s="33"/>
      <c r="H44" s="217">
        <f>SUM(H45:H47)</f>
        <v>1527.3</v>
      </c>
      <c r="I44" s="217">
        <f>SUM(I45:I47)</f>
        <v>1588.3999999999999</v>
      </c>
    </row>
    <row r="45" spans="1:9" ht="90" x14ac:dyDescent="0.35">
      <c r="A45" s="329"/>
      <c r="B45" s="494" t="s">
        <v>48</v>
      </c>
      <c r="C45" s="208" t="s">
        <v>38</v>
      </c>
      <c r="D45" s="209" t="s">
        <v>44</v>
      </c>
      <c r="E45" s="209" t="s">
        <v>38</v>
      </c>
      <c r="F45" s="210" t="s">
        <v>265</v>
      </c>
      <c r="G45" s="33" t="s">
        <v>49</v>
      </c>
      <c r="H45" s="217">
        <f>'прил9 (ведом 25-26)'!M310</f>
        <v>80</v>
      </c>
      <c r="I45" s="217">
        <f>'прил9 (ведом 25-26)'!N310</f>
        <v>82.4</v>
      </c>
    </row>
    <row r="46" spans="1:9" ht="18" x14ac:dyDescent="0.35">
      <c r="A46" s="329"/>
      <c r="B46" s="494" t="s">
        <v>118</v>
      </c>
      <c r="C46" s="208" t="s">
        <v>38</v>
      </c>
      <c r="D46" s="209" t="s">
        <v>44</v>
      </c>
      <c r="E46" s="209" t="s">
        <v>38</v>
      </c>
      <c r="F46" s="210" t="s">
        <v>265</v>
      </c>
      <c r="G46" s="33" t="s">
        <v>119</v>
      </c>
      <c r="H46" s="217">
        <f>'прил9 (ведом 25-26)'!M311</f>
        <v>5.6</v>
      </c>
      <c r="I46" s="217">
        <f>'прил9 (ведом 25-26)'!N311</f>
        <v>5.7</v>
      </c>
    </row>
    <row r="47" spans="1:9" ht="36" x14ac:dyDescent="0.35">
      <c r="A47" s="329"/>
      <c r="B47" s="493" t="s">
        <v>74</v>
      </c>
      <c r="C47" s="208" t="s">
        <v>38</v>
      </c>
      <c r="D47" s="209" t="s">
        <v>44</v>
      </c>
      <c r="E47" s="209" t="s">
        <v>38</v>
      </c>
      <c r="F47" s="210" t="s">
        <v>265</v>
      </c>
      <c r="G47" s="33" t="s">
        <v>75</v>
      </c>
      <c r="H47" s="217">
        <f>'прил9 (ведом 25-26)'!M312</f>
        <v>1441.7</v>
      </c>
      <c r="I47" s="217">
        <f>'прил9 (ведом 25-26)'!N312</f>
        <v>1500.3</v>
      </c>
    </row>
    <row r="48" spans="1:9" ht="90" x14ac:dyDescent="0.35">
      <c r="A48" s="329"/>
      <c r="B48" s="493" t="s">
        <v>341</v>
      </c>
      <c r="C48" s="208" t="s">
        <v>38</v>
      </c>
      <c r="D48" s="209" t="s">
        <v>44</v>
      </c>
      <c r="E48" s="209" t="s">
        <v>38</v>
      </c>
      <c r="F48" s="210" t="s">
        <v>266</v>
      </c>
      <c r="G48" s="33"/>
      <c r="H48" s="217">
        <f>SUM(H49:H51)</f>
        <v>520244.5</v>
      </c>
      <c r="I48" s="217">
        <f>SUM(I49:I51)</f>
        <v>545579.30000000005</v>
      </c>
    </row>
    <row r="49" spans="1:9" ht="90" x14ac:dyDescent="0.35">
      <c r="A49" s="329"/>
      <c r="B49" s="493" t="s">
        <v>48</v>
      </c>
      <c r="C49" s="208" t="s">
        <v>38</v>
      </c>
      <c r="D49" s="209" t="s">
        <v>44</v>
      </c>
      <c r="E49" s="209" t="s">
        <v>38</v>
      </c>
      <c r="F49" s="210" t="s">
        <v>266</v>
      </c>
      <c r="G49" s="33" t="s">
        <v>49</v>
      </c>
      <c r="H49" s="217">
        <f>'прил9 (ведом 25-26)'!M314</f>
        <v>30000</v>
      </c>
      <c r="I49" s="217">
        <f>'прил9 (ведом 25-26)'!N314</f>
        <v>30000</v>
      </c>
    </row>
    <row r="50" spans="1:9" ht="36" x14ac:dyDescent="0.35">
      <c r="A50" s="329"/>
      <c r="B50" s="493" t="s">
        <v>53</v>
      </c>
      <c r="C50" s="208" t="s">
        <v>38</v>
      </c>
      <c r="D50" s="209" t="s">
        <v>44</v>
      </c>
      <c r="E50" s="209" t="s">
        <v>38</v>
      </c>
      <c r="F50" s="210" t="s">
        <v>266</v>
      </c>
      <c r="G50" s="33" t="s">
        <v>54</v>
      </c>
      <c r="H50" s="217">
        <f>'прил9 (ведом 25-26)'!M315</f>
        <v>2062</v>
      </c>
      <c r="I50" s="217">
        <f>'прил9 (ведом 25-26)'!N315</f>
        <v>2062</v>
      </c>
    </row>
    <row r="51" spans="1:9" ht="36" x14ac:dyDescent="0.35">
      <c r="A51" s="329"/>
      <c r="B51" s="493" t="s">
        <v>74</v>
      </c>
      <c r="C51" s="208" t="s">
        <v>38</v>
      </c>
      <c r="D51" s="209" t="s">
        <v>44</v>
      </c>
      <c r="E51" s="209" t="s">
        <v>38</v>
      </c>
      <c r="F51" s="210" t="s">
        <v>266</v>
      </c>
      <c r="G51" s="33" t="s">
        <v>75</v>
      </c>
      <c r="H51" s="217">
        <f>'прил9 (ведом 25-26)'!M316</f>
        <v>488182.5</v>
      </c>
      <c r="I51" s="217">
        <f>'прил9 (ведом 25-26)'!N316</f>
        <v>513517.3</v>
      </c>
    </row>
    <row r="52" spans="1:9" ht="72" x14ac:dyDescent="0.35">
      <c r="A52" s="329"/>
      <c r="B52" s="493" t="s">
        <v>206</v>
      </c>
      <c r="C52" s="670" t="s">
        <v>38</v>
      </c>
      <c r="D52" s="670" t="s">
        <v>44</v>
      </c>
      <c r="E52" s="670" t="s">
        <v>38</v>
      </c>
      <c r="F52" s="671" t="s">
        <v>271</v>
      </c>
      <c r="G52" s="238"/>
      <c r="H52" s="217">
        <f>SUM(H53:H54)</f>
        <v>2481.6</v>
      </c>
      <c r="I52" s="217">
        <f>SUM(I53:I54)</f>
        <v>2589.2000000000003</v>
      </c>
    </row>
    <row r="53" spans="1:9" ht="36" x14ac:dyDescent="0.35">
      <c r="A53" s="329"/>
      <c r="B53" s="494" t="s">
        <v>53</v>
      </c>
      <c r="C53" s="208" t="s">
        <v>38</v>
      </c>
      <c r="D53" s="209" t="s">
        <v>44</v>
      </c>
      <c r="E53" s="209" t="s">
        <v>38</v>
      </c>
      <c r="F53" s="210" t="s">
        <v>271</v>
      </c>
      <c r="G53" s="33" t="s">
        <v>54</v>
      </c>
      <c r="H53" s="217">
        <f>'прил9 (ведом 25-26)'!M318</f>
        <v>106.4</v>
      </c>
      <c r="I53" s="217">
        <f>'прил9 (ведом 25-26)'!N318</f>
        <v>110.3</v>
      </c>
    </row>
    <row r="54" spans="1:9" ht="36" x14ac:dyDescent="0.35">
      <c r="A54" s="329"/>
      <c r="B54" s="493" t="s">
        <v>74</v>
      </c>
      <c r="C54" s="670" t="s">
        <v>38</v>
      </c>
      <c r="D54" s="670" t="s">
        <v>44</v>
      </c>
      <c r="E54" s="670" t="s">
        <v>38</v>
      </c>
      <c r="F54" s="671" t="s">
        <v>271</v>
      </c>
      <c r="G54" s="238" t="s">
        <v>75</v>
      </c>
      <c r="H54" s="217">
        <f>'прил9 (ведом 25-26)'!M319</f>
        <v>2375.1999999999998</v>
      </c>
      <c r="I54" s="217">
        <f>'прил9 (ведом 25-26)'!N319</f>
        <v>2478.9</v>
      </c>
    </row>
    <row r="55" spans="1:9" ht="126" x14ac:dyDescent="0.35">
      <c r="A55" s="329"/>
      <c r="B55" s="497" t="s">
        <v>508</v>
      </c>
      <c r="C55" s="676" t="s">
        <v>38</v>
      </c>
      <c r="D55" s="677" t="s">
        <v>44</v>
      </c>
      <c r="E55" s="677" t="s">
        <v>38</v>
      </c>
      <c r="F55" s="678" t="s">
        <v>507</v>
      </c>
      <c r="G55" s="238"/>
      <c r="H55" s="217">
        <f>H56</f>
        <v>1921.1</v>
      </c>
      <c r="I55" s="217">
        <f>I56</f>
        <v>1875.2</v>
      </c>
    </row>
    <row r="56" spans="1:9" ht="36" x14ac:dyDescent="0.35">
      <c r="A56" s="329"/>
      <c r="B56" s="497" t="s">
        <v>74</v>
      </c>
      <c r="C56" s="676" t="s">
        <v>38</v>
      </c>
      <c r="D56" s="677" t="s">
        <v>44</v>
      </c>
      <c r="E56" s="677" t="s">
        <v>38</v>
      </c>
      <c r="F56" s="678" t="s">
        <v>507</v>
      </c>
      <c r="G56" s="15" t="s">
        <v>75</v>
      </c>
      <c r="H56" s="217">
        <f>'прил9 (ведом 25-26)'!M321</f>
        <v>1921.1</v>
      </c>
      <c r="I56" s="217">
        <f>'прил9 (ведом 25-26)'!N321</f>
        <v>1875.2</v>
      </c>
    </row>
    <row r="57" spans="1:9" ht="72" x14ac:dyDescent="0.35">
      <c r="A57" s="329"/>
      <c r="B57" s="494" t="s">
        <v>446</v>
      </c>
      <c r="C57" s="208" t="s">
        <v>38</v>
      </c>
      <c r="D57" s="209" t="s">
        <v>44</v>
      </c>
      <c r="E57" s="209" t="s">
        <v>38</v>
      </c>
      <c r="F57" s="210" t="s">
        <v>445</v>
      </c>
      <c r="G57" s="33"/>
      <c r="H57" s="217">
        <f>H58+H59</f>
        <v>66931</v>
      </c>
      <c r="I57" s="217">
        <f>I58+I59</f>
        <v>67036.900000000009</v>
      </c>
    </row>
    <row r="58" spans="1:9" ht="36" x14ac:dyDescent="0.35">
      <c r="A58" s="329"/>
      <c r="B58" s="494" t="s">
        <v>53</v>
      </c>
      <c r="C58" s="208" t="s">
        <v>38</v>
      </c>
      <c r="D58" s="209" t="s">
        <v>44</v>
      </c>
      <c r="E58" s="209" t="s">
        <v>38</v>
      </c>
      <c r="F58" s="210" t="s">
        <v>445</v>
      </c>
      <c r="G58" s="33" t="s">
        <v>54</v>
      </c>
      <c r="H58" s="217">
        <f>'прил9 (ведом 25-26)'!M323</f>
        <v>1760.3</v>
      </c>
      <c r="I58" s="217">
        <f>'прил9 (ведом 25-26)'!N323</f>
        <v>1763.1</v>
      </c>
    </row>
    <row r="59" spans="1:9" ht="36" x14ac:dyDescent="0.35">
      <c r="A59" s="329"/>
      <c r="B59" s="494" t="s">
        <v>74</v>
      </c>
      <c r="C59" s="208" t="s">
        <v>38</v>
      </c>
      <c r="D59" s="209" t="s">
        <v>44</v>
      </c>
      <c r="E59" s="209" t="s">
        <v>38</v>
      </c>
      <c r="F59" s="210" t="s">
        <v>445</v>
      </c>
      <c r="G59" s="33" t="s">
        <v>75</v>
      </c>
      <c r="H59" s="217">
        <f>'прил9 (ведом 25-26)'!M324</f>
        <v>65170.7</v>
      </c>
      <c r="I59" s="217">
        <f>'прил9 (ведом 25-26)'!N324</f>
        <v>65273.8</v>
      </c>
    </row>
    <row r="60" spans="1:9" ht="234" x14ac:dyDescent="0.35">
      <c r="A60" s="329"/>
      <c r="B60" s="494" t="s">
        <v>693</v>
      </c>
      <c r="C60" s="208" t="s">
        <v>38</v>
      </c>
      <c r="D60" s="209" t="s">
        <v>44</v>
      </c>
      <c r="E60" s="209" t="s">
        <v>38</v>
      </c>
      <c r="F60" s="210" t="s">
        <v>631</v>
      </c>
      <c r="G60" s="33"/>
      <c r="H60" s="217">
        <f>H61+H62</f>
        <v>35544.6</v>
      </c>
      <c r="I60" s="217">
        <f>I61+I62</f>
        <v>35544.6</v>
      </c>
    </row>
    <row r="61" spans="1:9" ht="90" x14ac:dyDescent="0.35">
      <c r="A61" s="329"/>
      <c r="B61" s="494" t="s">
        <v>48</v>
      </c>
      <c r="C61" s="208" t="s">
        <v>38</v>
      </c>
      <c r="D61" s="209" t="s">
        <v>44</v>
      </c>
      <c r="E61" s="209" t="s">
        <v>38</v>
      </c>
      <c r="F61" s="210" t="s">
        <v>631</v>
      </c>
      <c r="G61" s="33" t="s">
        <v>49</v>
      </c>
      <c r="H61" s="217">
        <f>'прил9 (ведом 25-26)'!M326</f>
        <v>2968.6</v>
      </c>
      <c r="I61" s="217">
        <f>'прил9 (ведом 25-26)'!N326</f>
        <v>2968.6</v>
      </c>
    </row>
    <row r="62" spans="1:9" ht="36" x14ac:dyDescent="0.35">
      <c r="A62" s="329"/>
      <c r="B62" s="494" t="s">
        <v>74</v>
      </c>
      <c r="C62" s="208" t="s">
        <v>38</v>
      </c>
      <c r="D62" s="209" t="s">
        <v>44</v>
      </c>
      <c r="E62" s="209" t="s">
        <v>38</v>
      </c>
      <c r="F62" s="210" t="s">
        <v>631</v>
      </c>
      <c r="G62" s="33" t="s">
        <v>75</v>
      </c>
      <c r="H62" s="217">
        <f>'прил9 (ведом 25-26)'!M327</f>
        <v>32576</v>
      </c>
      <c r="I62" s="217">
        <f>'прил9 (ведом 25-26)'!N327</f>
        <v>32576</v>
      </c>
    </row>
    <row r="63" spans="1:9" ht="72" x14ac:dyDescent="0.35">
      <c r="A63" s="329"/>
      <c r="B63" s="497" t="s">
        <v>694</v>
      </c>
      <c r="C63" s="676" t="s">
        <v>38</v>
      </c>
      <c r="D63" s="677" t="s">
        <v>44</v>
      </c>
      <c r="E63" s="677" t="s">
        <v>38</v>
      </c>
      <c r="F63" s="678" t="s">
        <v>505</v>
      </c>
      <c r="G63" s="33"/>
      <c r="H63" s="217">
        <f>H64+H65+H66</f>
        <v>13206.800000000001</v>
      </c>
      <c r="I63" s="217">
        <f>I64+I65+I66</f>
        <v>13018.800000000001</v>
      </c>
    </row>
    <row r="64" spans="1:9" ht="36" x14ac:dyDescent="0.35">
      <c r="A64" s="329"/>
      <c r="B64" s="497" t="s">
        <v>53</v>
      </c>
      <c r="C64" s="676" t="s">
        <v>38</v>
      </c>
      <c r="D64" s="677" t="s">
        <v>44</v>
      </c>
      <c r="E64" s="677" t="s">
        <v>38</v>
      </c>
      <c r="F64" s="678" t="s">
        <v>505</v>
      </c>
      <c r="G64" s="15" t="s">
        <v>54</v>
      </c>
      <c r="H64" s="217">
        <f>'прил9 (ведом 25-26)'!M329</f>
        <v>129.6</v>
      </c>
      <c r="I64" s="217">
        <f>'прил9 (ведом 25-26)'!N329</f>
        <v>107.7</v>
      </c>
    </row>
    <row r="65" spans="1:9" ht="18" x14ac:dyDescent="0.35">
      <c r="A65" s="329"/>
      <c r="B65" s="497" t="s">
        <v>118</v>
      </c>
      <c r="C65" s="676" t="s">
        <v>38</v>
      </c>
      <c r="D65" s="677" t="s">
        <v>44</v>
      </c>
      <c r="E65" s="677" t="s">
        <v>38</v>
      </c>
      <c r="F65" s="678" t="s">
        <v>505</v>
      </c>
      <c r="G65" s="15" t="s">
        <v>119</v>
      </c>
      <c r="H65" s="217">
        <f>'прил9 (ведом 25-26)'!M330</f>
        <v>104.1</v>
      </c>
      <c r="I65" s="217">
        <f>'прил9 (ведом 25-26)'!N330</f>
        <v>111.9</v>
      </c>
    </row>
    <row r="66" spans="1:9" ht="36" x14ac:dyDescent="0.35">
      <c r="A66" s="329"/>
      <c r="B66" s="497" t="s">
        <v>74</v>
      </c>
      <c r="C66" s="676" t="s">
        <v>38</v>
      </c>
      <c r="D66" s="677" t="s">
        <v>44</v>
      </c>
      <c r="E66" s="677" t="s">
        <v>38</v>
      </c>
      <c r="F66" s="678" t="s">
        <v>505</v>
      </c>
      <c r="G66" s="15" t="s">
        <v>75</v>
      </c>
      <c r="H66" s="217">
        <f>'прил9 (ведом 25-26)'!M331</f>
        <v>12973.1</v>
      </c>
      <c r="I66" s="217">
        <f>'прил9 (ведом 25-26)'!N331</f>
        <v>12799.2</v>
      </c>
    </row>
    <row r="67" spans="1:9" ht="36" x14ac:dyDescent="0.35">
      <c r="A67" s="329"/>
      <c r="B67" s="497" t="s">
        <v>614</v>
      </c>
      <c r="C67" s="676" t="s">
        <v>38</v>
      </c>
      <c r="D67" s="677" t="s">
        <v>44</v>
      </c>
      <c r="E67" s="677" t="s">
        <v>615</v>
      </c>
      <c r="F67" s="678" t="s">
        <v>43</v>
      </c>
      <c r="G67" s="15"/>
      <c r="H67" s="217">
        <f>H68</f>
        <v>5745.9</v>
      </c>
      <c r="I67" s="217">
        <f>I68</f>
        <v>6946.4000000000005</v>
      </c>
    </row>
    <row r="68" spans="1:9" ht="72" x14ac:dyDescent="0.35">
      <c r="A68" s="329"/>
      <c r="B68" s="497" t="s">
        <v>616</v>
      </c>
      <c r="C68" s="676" t="s">
        <v>38</v>
      </c>
      <c r="D68" s="677" t="s">
        <v>44</v>
      </c>
      <c r="E68" s="677" t="s">
        <v>615</v>
      </c>
      <c r="F68" s="678" t="s">
        <v>617</v>
      </c>
      <c r="G68" s="15"/>
      <c r="H68" s="217">
        <f>H69+H70</f>
        <v>5745.9</v>
      </c>
      <c r="I68" s="217">
        <f>I69+I70</f>
        <v>6946.4000000000005</v>
      </c>
    </row>
    <row r="69" spans="1:9" ht="90" x14ac:dyDescent="0.35">
      <c r="A69" s="329"/>
      <c r="B69" s="497" t="s">
        <v>48</v>
      </c>
      <c r="C69" s="676" t="s">
        <v>38</v>
      </c>
      <c r="D69" s="677" t="s">
        <v>44</v>
      </c>
      <c r="E69" s="677" t="s">
        <v>615</v>
      </c>
      <c r="F69" s="678" t="s">
        <v>617</v>
      </c>
      <c r="G69" s="15" t="s">
        <v>49</v>
      </c>
      <c r="H69" s="217">
        <f>'прил9 (ведом 25-26)'!M334</f>
        <v>420.4</v>
      </c>
      <c r="I69" s="217">
        <f>'прил9 (ведом 25-26)'!N334</f>
        <v>508.3</v>
      </c>
    </row>
    <row r="70" spans="1:9" ht="36" x14ac:dyDescent="0.35">
      <c r="A70" s="329"/>
      <c r="B70" s="497" t="s">
        <v>74</v>
      </c>
      <c r="C70" s="676" t="s">
        <v>38</v>
      </c>
      <c r="D70" s="677" t="s">
        <v>44</v>
      </c>
      <c r="E70" s="677" t="s">
        <v>615</v>
      </c>
      <c r="F70" s="678" t="s">
        <v>617</v>
      </c>
      <c r="G70" s="15" t="s">
        <v>75</v>
      </c>
      <c r="H70" s="217">
        <f>'прил9 (ведом 25-26)'!M335</f>
        <v>5325.5</v>
      </c>
      <c r="I70" s="217">
        <f>'прил9 (ведом 25-26)'!N335</f>
        <v>6438.1</v>
      </c>
    </row>
    <row r="71" spans="1:9" ht="18" x14ac:dyDescent="0.35">
      <c r="A71" s="329"/>
      <c r="B71" s="493" t="s">
        <v>207</v>
      </c>
      <c r="C71" s="208" t="s">
        <v>38</v>
      </c>
      <c r="D71" s="209" t="s">
        <v>87</v>
      </c>
      <c r="E71" s="209" t="s">
        <v>42</v>
      </c>
      <c r="F71" s="210" t="s">
        <v>43</v>
      </c>
      <c r="G71" s="238"/>
      <c r="H71" s="217">
        <f>H72</f>
        <v>82500.599999999991</v>
      </c>
      <c r="I71" s="217">
        <f>I72</f>
        <v>81353</v>
      </c>
    </row>
    <row r="72" spans="1:9" ht="36" x14ac:dyDescent="0.35">
      <c r="A72" s="329"/>
      <c r="B72" s="493" t="s">
        <v>272</v>
      </c>
      <c r="C72" s="208" t="s">
        <v>38</v>
      </c>
      <c r="D72" s="209" t="s">
        <v>87</v>
      </c>
      <c r="E72" s="209" t="s">
        <v>36</v>
      </c>
      <c r="F72" s="210" t="s">
        <v>43</v>
      </c>
      <c r="G72" s="238"/>
      <c r="H72" s="217">
        <f>H73+H86+H88+H78+H81+H83</f>
        <v>82500.599999999991</v>
      </c>
      <c r="I72" s="217">
        <f>I73+I86+I88+I78+I81+I83</f>
        <v>81353</v>
      </c>
    </row>
    <row r="73" spans="1:9" ht="36" x14ac:dyDescent="0.35">
      <c r="A73" s="329"/>
      <c r="B73" s="493" t="s">
        <v>454</v>
      </c>
      <c r="C73" s="208" t="s">
        <v>38</v>
      </c>
      <c r="D73" s="209" t="s">
        <v>87</v>
      </c>
      <c r="E73" s="209" t="s">
        <v>36</v>
      </c>
      <c r="F73" s="210" t="s">
        <v>89</v>
      </c>
      <c r="G73" s="33"/>
      <c r="H73" s="217">
        <f>SUM(H74:H77)</f>
        <v>57892.800000000003</v>
      </c>
      <c r="I73" s="217">
        <f>SUM(I74:I77)</f>
        <v>57966.3</v>
      </c>
    </row>
    <row r="74" spans="1:9" ht="90" x14ac:dyDescent="0.35">
      <c r="A74" s="329"/>
      <c r="B74" s="494" t="s">
        <v>48</v>
      </c>
      <c r="C74" s="208" t="s">
        <v>38</v>
      </c>
      <c r="D74" s="209" t="s">
        <v>87</v>
      </c>
      <c r="E74" s="209" t="s">
        <v>36</v>
      </c>
      <c r="F74" s="210" t="s">
        <v>89</v>
      </c>
      <c r="G74" s="33" t="s">
        <v>49</v>
      </c>
      <c r="H74" s="217">
        <f>'прил9 (ведом 25-26)'!M390</f>
        <v>17038.2</v>
      </c>
      <c r="I74" s="217">
        <f>'прил9 (ведом 25-26)'!N390</f>
        <v>17038.2</v>
      </c>
    </row>
    <row r="75" spans="1:9" ht="36" x14ac:dyDescent="0.35">
      <c r="A75" s="329"/>
      <c r="B75" s="494" t="s">
        <v>53</v>
      </c>
      <c r="C75" s="208" t="s">
        <v>38</v>
      </c>
      <c r="D75" s="209" t="s">
        <v>87</v>
      </c>
      <c r="E75" s="209" t="s">
        <v>36</v>
      </c>
      <c r="F75" s="210" t="s">
        <v>89</v>
      </c>
      <c r="G75" s="33" t="s">
        <v>54</v>
      </c>
      <c r="H75" s="217">
        <f>'прил9 (ведом 25-26)'!M391</f>
        <v>1712.1</v>
      </c>
      <c r="I75" s="217">
        <f>'прил9 (ведом 25-26)'!N391</f>
        <v>1715.3</v>
      </c>
    </row>
    <row r="76" spans="1:9" ht="36" x14ac:dyDescent="0.35">
      <c r="A76" s="329"/>
      <c r="B76" s="493" t="s">
        <v>74</v>
      </c>
      <c r="C76" s="208" t="s">
        <v>38</v>
      </c>
      <c r="D76" s="209" t="s">
        <v>87</v>
      </c>
      <c r="E76" s="209" t="s">
        <v>36</v>
      </c>
      <c r="F76" s="210" t="s">
        <v>89</v>
      </c>
      <c r="G76" s="33" t="s">
        <v>75</v>
      </c>
      <c r="H76" s="217">
        <f>'прил9 (ведом 25-26)'!M345</f>
        <v>38846</v>
      </c>
      <c r="I76" s="217">
        <f>'прил9 (ведом 25-26)'!N345</f>
        <v>38922.800000000003</v>
      </c>
    </row>
    <row r="77" spans="1:9" ht="18" x14ac:dyDescent="0.35">
      <c r="A77" s="329"/>
      <c r="B77" s="494" t="s">
        <v>55</v>
      </c>
      <c r="C77" s="208" t="s">
        <v>38</v>
      </c>
      <c r="D77" s="209" t="s">
        <v>87</v>
      </c>
      <c r="E77" s="209" t="s">
        <v>36</v>
      </c>
      <c r="F77" s="210" t="s">
        <v>89</v>
      </c>
      <c r="G77" s="33" t="s">
        <v>56</v>
      </c>
      <c r="H77" s="217">
        <f>'прил9 (ведом 25-26)'!M392</f>
        <v>296.5</v>
      </c>
      <c r="I77" s="217">
        <f>'прил9 (ведом 25-26)'!N392</f>
        <v>290</v>
      </c>
    </row>
    <row r="78" spans="1:9" ht="36" x14ac:dyDescent="0.35">
      <c r="A78" s="329"/>
      <c r="B78" s="494" t="s">
        <v>204</v>
      </c>
      <c r="C78" s="208" t="s">
        <v>38</v>
      </c>
      <c r="D78" s="209" t="s">
        <v>87</v>
      </c>
      <c r="E78" s="209" t="s">
        <v>36</v>
      </c>
      <c r="F78" s="210" t="s">
        <v>269</v>
      </c>
      <c r="G78" s="33"/>
      <c r="H78" s="217">
        <f>H79+H80</f>
        <v>5320.7000000000007</v>
      </c>
      <c r="I78" s="217">
        <f>I79+I80</f>
        <v>4095.1</v>
      </c>
    </row>
    <row r="79" spans="1:9" ht="36" x14ac:dyDescent="0.35">
      <c r="A79" s="329"/>
      <c r="B79" s="494" t="s">
        <v>53</v>
      </c>
      <c r="C79" s="208" t="s">
        <v>38</v>
      </c>
      <c r="D79" s="209" t="s">
        <v>87</v>
      </c>
      <c r="E79" s="209" t="s">
        <v>36</v>
      </c>
      <c r="F79" s="210" t="s">
        <v>269</v>
      </c>
      <c r="G79" s="33" t="s">
        <v>54</v>
      </c>
      <c r="H79" s="217">
        <f>'прил9 (ведом 25-26)'!M394</f>
        <v>1066.5999999999999</v>
      </c>
      <c r="I79" s="217">
        <f>'прил9 (ведом 25-26)'!N394</f>
        <v>819.5</v>
      </c>
    </row>
    <row r="80" spans="1:9" ht="36" x14ac:dyDescent="0.35">
      <c r="A80" s="329"/>
      <c r="B80" s="498" t="s">
        <v>74</v>
      </c>
      <c r="C80" s="208" t="s">
        <v>38</v>
      </c>
      <c r="D80" s="209" t="s">
        <v>87</v>
      </c>
      <c r="E80" s="209" t="s">
        <v>36</v>
      </c>
      <c r="F80" s="210" t="s">
        <v>269</v>
      </c>
      <c r="G80" s="33" t="s">
        <v>75</v>
      </c>
      <c r="H80" s="217">
        <f>'прил9 (ведом 25-26)'!M347</f>
        <v>4254.1000000000004</v>
      </c>
      <c r="I80" s="217">
        <f>'прил9 (ведом 25-26)'!N347</f>
        <v>3275.6</v>
      </c>
    </row>
    <row r="81" spans="1:9" ht="36" x14ac:dyDescent="0.35">
      <c r="A81" s="329"/>
      <c r="B81" s="497" t="s">
        <v>205</v>
      </c>
      <c r="C81" s="676" t="s">
        <v>38</v>
      </c>
      <c r="D81" s="677" t="s">
        <v>87</v>
      </c>
      <c r="E81" s="677" t="s">
        <v>36</v>
      </c>
      <c r="F81" s="678" t="s">
        <v>270</v>
      </c>
      <c r="G81" s="15"/>
      <c r="H81" s="217">
        <f>H82</f>
        <v>46.9</v>
      </c>
      <c r="I81" s="217">
        <f>I82</f>
        <v>46.9</v>
      </c>
    </row>
    <row r="82" spans="1:9" ht="36" x14ac:dyDescent="0.35">
      <c r="A82" s="329"/>
      <c r="B82" s="564" t="s">
        <v>74</v>
      </c>
      <c r="C82" s="676" t="s">
        <v>38</v>
      </c>
      <c r="D82" s="677" t="s">
        <v>87</v>
      </c>
      <c r="E82" s="677" t="s">
        <v>36</v>
      </c>
      <c r="F82" s="678" t="s">
        <v>270</v>
      </c>
      <c r="G82" s="15" t="s">
        <v>75</v>
      </c>
      <c r="H82" s="217">
        <f>'прил9 (ведом 25-26)'!M349</f>
        <v>46.9</v>
      </c>
      <c r="I82" s="217">
        <f>'прил9 (ведом 25-26)'!N349</f>
        <v>46.9</v>
      </c>
    </row>
    <row r="83" spans="1:9" ht="54" x14ac:dyDescent="0.35">
      <c r="A83" s="329"/>
      <c r="B83" s="564" t="s">
        <v>624</v>
      </c>
      <c r="C83" s="676" t="s">
        <v>38</v>
      </c>
      <c r="D83" s="677" t="s">
        <v>87</v>
      </c>
      <c r="E83" s="677" t="s">
        <v>36</v>
      </c>
      <c r="F83" s="678" t="s">
        <v>625</v>
      </c>
      <c r="G83" s="15"/>
      <c r="H83" s="217">
        <f>H84+H85</f>
        <v>6127.5</v>
      </c>
      <c r="I83" s="217">
        <f>I84+I85</f>
        <v>6127.5</v>
      </c>
    </row>
    <row r="84" spans="1:9" ht="36" x14ac:dyDescent="0.35">
      <c r="A84" s="329"/>
      <c r="B84" s="564" t="s">
        <v>74</v>
      </c>
      <c r="C84" s="676" t="s">
        <v>38</v>
      </c>
      <c r="D84" s="677" t="s">
        <v>87</v>
      </c>
      <c r="E84" s="677" t="s">
        <v>36</v>
      </c>
      <c r="F84" s="678" t="s">
        <v>625</v>
      </c>
      <c r="G84" s="15" t="s">
        <v>75</v>
      </c>
      <c r="H84" s="217">
        <f>'прил9 (ведом 25-26)'!M351</f>
        <v>6072.6</v>
      </c>
      <c r="I84" s="217">
        <f>'прил9 (ведом 25-26)'!N351</f>
        <v>6072.6</v>
      </c>
    </row>
    <row r="85" spans="1:9" ht="18" x14ac:dyDescent="0.35">
      <c r="A85" s="329"/>
      <c r="B85" s="564" t="s">
        <v>55</v>
      </c>
      <c r="C85" s="676" t="s">
        <v>38</v>
      </c>
      <c r="D85" s="677" t="s">
        <v>87</v>
      </c>
      <c r="E85" s="677" t="s">
        <v>36</v>
      </c>
      <c r="F85" s="678" t="s">
        <v>625</v>
      </c>
      <c r="G85" s="15" t="s">
        <v>56</v>
      </c>
      <c r="H85" s="217">
        <f>'прил9 (ведом 25-26)'!M352</f>
        <v>54.9</v>
      </c>
      <c r="I85" s="217">
        <f>'прил9 (ведом 25-26)'!N352</f>
        <v>54.9</v>
      </c>
    </row>
    <row r="86" spans="1:9" ht="162" x14ac:dyDescent="0.35">
      <c r="A86" s="329"/>
      <c r="B86" s="493" t="s">
        <v>264</v>
      </c>
      <c r="C86" s="208" t="s">
        <v>38</v>
      </c>
      <c r="D86" s="209" t="s">
        <v>87</v>
      </c>
      <c r="E86" s="209" t="s">
        <v>36</v>
      </c>
      <c r="F86" s="210" t="s">
        <v>265</v>
      </c>
      <c r="G86" s="33"/>
      <c r="H86" s="217">
        <f>H87</f>
        <v>112.7</v>
      </c>
      <c r="I86" s="217">
        <f>I87</f>
        <v>117.2</v>
      </c>
    </row>
    <row r="87" spans="1:9" ht="36" x14ac:dyDescent="0.35">
      <c r="A87" s="329"/>
      <c r="B87" s="494" t="s">
        <v>74</v>
      </c>
      <c r="C87" s="208" t="s">
        <v>38</v>
      </c>
      <c r="D87" s="209" t="s">
        <v>87</v>
      </c>
      <c r="E87" s="209" t="s">
        <v>36</v>
      </c>
      <c r="F87" s="210" t="s">
        <v>265</v>
      </c>
      <c r="G87" s="33" t="s">
        <v>75</v>
      </c>
      <c r="H87" s="217">
        <f>'прил9 (ведом 25-26)'!M354</f>
        <v>112.7</v>
      </c>
      <c r="I87" s="217">
        <f>'прил9 (ведом 25-26)'!N354</f>
        <v>117.2</v>
      </c>
    </row>
    <row r="88" spans="1:9" ht="90" x14ac:dyDescent="0.35">
      <c r="A88" s="329"/>
      <c r="B88" s="494" t="s">
        <v>341</v>
      </c>
      <c r="C88" s="208" t="s">
        <v>38</v>
      </c>
      <c r="D88" s="209" t="s">
        <v>87</v>
      </c>
      <c r="E88" s="209" t="s">
        <v>36</v>
      </c>
      <c r="F88" s="210" t="s">
        <v>266</v>
      </c>
      <c r="G88" s="33"/>
      <c r="H88" s="217">
        <f>H89</f>
        <v>13000</v>
      </c>
      <c r="I88" s="217">
        <f>I89</f>
        <v>13000</v>
      </c>
    </row>
    <row r="89" spans="1:9" ht="36" x14ac:dyDescent="0.35">
      <c r="A89" s="329"/>
      <c r="B89" s="494" t="s">
        <v>74</v>
      </c>
      <c r="C89" s="208" t="s">
        <v>38</v>
      </c>
      <c r="D89" s="209" t="s">
        <v>87</v>
      </c>
      <c r="E89" s="209" t="s">
        <v>36</v>
      </c>
      <c r="F89" s="210" t="s">
        <v>266</v>
      </c>
      <c r="G89" s="33" t="s">
        <v>75</v>
      </c>
      <c r="H89" s="217">
        <f>'прил9 (ведом 25-26)'!M356</f>
        <v>13000</v>
      </c>
      <c r="I89" s="217">
        <f>'прил9 (ведом 25-26)'!N356</f>
        <v>13000</v>
      </c>
    </row>
    <row r="90" spans="1:9" ht="36" x14ac:dyDescent="0.35">
      <c r="A90" s="329"/>
      <c r="B90" s="493" t="s">
        <v>209</v>
      </c>
      <c r="C90" s="208" t="s">
        <v>38</v>
      </c>
      <c r="D90" s="209" t="s">
        <v>29</v>
      </c>
      <c r="E90" s="209" t="s">
        <v>42</v>
      </c>
      <c r="F90" s="210" t="s">
        <v>43</v>
      </c>
      <c r="G90" s="238"/>
      <c r="H90" s="217">
        <f>H91+H106+H109+H112+H115</f>
        <v>95544.900000000009</v>
      </c>
      <c r="I90" s="217">
        <f>I91+I106+I109+I112+I115</f>
        <v>96166.5</v>
      </c>
    </row>
    <row r="91" spans="1:9" ht="36" x14ac:dyDescent="0.35">
      <c r="A91" s="329"/>
      <c r="B91" s="493" t="s">
        <v>278</v>
      </c>
      <c r="C91" s="208" t="s">
        <v>38</v>
      </c>
      <c r="D91" s="209" t="s">
        <v>29</v>
      </c>
      <c r="E91" s="209" t="s">
        <v>36</v>
      </c>
      <c r="F91" s="210" t="s">
        <v>43</v>
      </c>
      <c r="G91" s="238"/>
      <c r="H91" s="217">
        <f>H92+H96+H104+H101</f>
        <v>89099.700000000012</v>
      </c>
      <c r="I91" s="217">
        <f>I92+I96+I104+I101</f>
        <v>89490.8</v>
      </c>
    </row>
    <row r="92" spans="1:9" ht="36" x14ac:dyDescent="0.35">
      <c r="A92" s="329"/>
      <c r="B92" s="493" t="s">
        <v>46</v>
      </c>
      <c r="C92" s="208" t="s">
        <v>38</v>
      </c>
      <c r="D92" s="209" t="s">
        <v>29</v>
      </c>
      <c r="E92" s="209" t="s">
        <v>36</v>
      </c>
      <c r="F92" s="210" t="s">
        <v>47</v>
      </c>
      <c r="G92" s="33"/>
      <c r="H92" s="217">
        <f>SUM(H93:H95)</f>
        <v>14320.5</v>
      </c>
      <c r="I92" s="217">
        <f>SUM(I93:I95)</f>
        <v>14327.400000000001</v>
      </c>
    </row>
    <row r="93" spans="1:9" ht="90" x14ac:dyDescent="0.35">
      <c r="A93" s="329"/>
      <c r="B93" s="493" t="s">
        <v>48</v>
      </c>
      <c r="C93" s="208" t="s">
        <v>38</v>
      </c>
      <c r="D93" s="209" t="s">
        <v>29</v>
      </c>
      <c r="E93" s="209" t="s">
        <v>36</v>
      </c>
      <c r="F93" s="210" t="s">
        <v>47</v>
      </c>
      <c r="G93" s="33" t="s">
        <v>49</v>
      </c>
      <c r="H93" s="217">
        <f>'прил9 (ведом 25-26)'!M362</f>
        <v>13219.6</v>
      </c>
      <c r="I93" s="217">
        <f>'прил9 (ведом 25-26)'!N362</f>
        <v>13219.6</v>
      </c>
    </row>
    <row r="94" spans="1:9" ht="36" x14ac:dyDescent="0.35">
      <c r="A94" s="329"/>
      <c r="B94" s="493" t="s">
        <v>53</v>
      </c>
      <c r="C94" s="208" t="s">
        <v>38</v>
      </c>
      <c r="D94" s="209" t="s">
        <v>29</v>
      </c>
      <c r="E94" s="209" t="s">
        <v>36</v>
      </c>
      <c r="F94" s="210" t="s">
        <v>47</v>
      </c>
      <c r="G94" s="33" t="s">
        <v>54</v>
      </c>
      <c r="H94" s="217">
        <f>'прил9 (ведом 25-26)'!M363</f>
        <v>1084.5999999999999</v>
      </c>
      <c r="I94" s="217">
        <f>'прил9 (ведом 25-26)'!N363</f>
        <v>1091.7</v>
      </c>
    </row>
    <row r="95" spans="1:9" ht="18" x14ac:dyDescent="0.35">
      <c r="A95" s="329"/>
      <c r="B95" s="493" t="s">
        <v>55</v>
      </c>
      <c r="C95" s="208" t="s">
        <v>38</v>
      </c>
      <c r="D95" s="209" t="s">
        <v>29</v>
      </c>
      <c r="E95" s="209" t="s">
        <v>36</v>
      </c>
      <c r="F95" s="210" t="s">
        <v>47</v>
      </c>
      <c r="G95" s="33" t="s">
        <v>56</v>
      </c>
      <c r="H95" s="217">
        <f>'прил9 (ведом 25-26)'!M364</f>
        <v>16.3</v>
      </c>
      <c r="I95" s="217">
        <f>'прил9 (ведом 25-26)'!N364</f>
        <v>16.100000000000001</v>
      </c>
    </row>
    <row r="96" spans="1:9" ht="36" x14ac:dyDescent="0.35">
      <c r="A96" s="329"/>
      <c r="B96" s="493" t="s">
        <v>454</v>
      </c>
      <c r="C96" s="208" t="s">
        <v>38</v>
      </c>
      <c r="D96" s="209" t="s">
        <v>29</v>
      </c>
      <c r="E96" s="209" t="s">
        <v>36</v>
      </c>
      <c r="F96" s="210" t="s">
        <v>89</v>
      </c>
      <c r="G96" s="33"/>
      <c r="H96" s="217">
        <f>SUM(H97:H100)</f>
        <v>64489.1</v>
      </c>
      <c r="I96" s="217">
        <f>SUM(I97:I100)</f>
        <v>64522.499999999993</v>
      </c>
    </row>
    <row r="97" spans="1:9" ht="90" x14ac:dyDescent="0.35">
      <c r="A97" s="329"/>
      <c r="B97" s="493" t="s">
        <v>48</v>
      </c>
      <c r="C97" s="208" t="s">
        <v>38</v>
      </c>
      <c r="D97" s="209" t="s">
        <v>29</v>
      </c>
      <c r="E97" s="209" t="s">
        <v>36</v>
      </c>
      <c r="F97" s="210" t="s">
        <v>89</v>
      </c>
      <c r="G97" s="33" t="s">
        <v>49</v>
      </c>
      <c r="H97" s="217">
        <f>'прил9 (ведом 25-26)'!M366</f>
        <v>40001.199999999997</v>
      </c>
      <c r="I97" s="217">
        <f>'прил9 (ведом 25-26)'!N366</f>
        <v>40001.199999999997</v>
      </c>
    </row>
    <row r="98" spans="1:9" ht="36" x14ac:dyDescent="0.35">
      <c r="A98" s="329"/>
      <c r="B98" s="493" t="s">
        <v>53</v>
      </c>
      <c r="C98" s="208" t="s">
        <v>38</v>
      </c>
      <c r="D98" s="209" t="s">
        <v>29</v>
      </c>
      <c r="E98" s="209" t="s">
        <v>36</v>
      </c>
      <c r="F98" s="210" t="s">
        <v>89</v>
      </c>
      <c r="G98" s="33" t="s">
        <v>54</v>
      </c>
      <c r="H98" s="217">
        <f>'прил9 (ведом 25-26)'!M367</f>
        <v>3290.9</v>
      </c>
      <c r="I98" s="217">
        <f>'прил9 (ведом 25-26)'!N367</f>
        <v>3121.7</v>
      </c>
    </row>
    <row r="99" spans="1:9" ht="36" x14ac:dyDescent="0.35">
      <c r="A99" s="329"/>
      <c r="B99" s="494" t="s">
        <v>74</v>
      </c>
      <c r="C99" s="208" t="s">
        <v>38</v>
      </c>
      <c r="D99" s="209" t="s">
        <v>29</v>
      </c>
      <c r="E99" s="209" t="s">
        <v>36</v>
      </c>
      <c r="F99" s="210" t="s">
        <v>89</v>
      </c>
      <c r="G99" s="33" t="s">
        <v>75</v>
      </c>
      <c r="H99" s="217">
        <f>'прил9 (ведом 25-26)'!M368</f>
        <v>21192.9</v>
      </c>
      <c r="I99" s="217">
        <f>'прил9 (ведом 25-26)'!N368</f>
        <v>21396.2</v>
      </c>
    </row>
    <row r="100" spans="1:9" ht="18" x14ac:dyDescent="0.35">
      <c r="A100" s="329"/>
      <c r="B100" s="494" t="s">
        <v>55</v>
      </c>
      <c r="C100" s="208" t="s">
        <v>38</v>
      </c>
      <c r="D100" s="209" t="s">
        <v>29</v>
      </c>
      <c r="E100" s="209" t="s">
        <v>36</v>
      </c>
      <c r="F100" s="210" t="s">
        <v>89</v>
      </c>
      <c r="G100" s="33" t="s">
        <v>56</v>
      </c>
      <c r="H100" s="217">
        <f>'прил9 (ведом 25-26)'!M369</f>
        <v>4.0999999999999996</v>
      </c>
      <c r="I100" s="217">
        <f>'прил9 (ведом 25-26)'!N369</f>
        <v>3.4</v>
      </c>
    </row>
    <row r="101" spans="1:9" ht="90" x14ac:dyDescent="0.35">
      <c r="A101" s="329"/>
      <c r="B101" s="494" t="s">
        <v>341</v>
      </c>
      <c r="C101" s="208" t="s">
        <v>38</v>
      </c>
      <c r="D101" s="209" t="s">
        <v>29</v>
      </c>
      <c r="E101" s="209" t="s">
        <v>36</v>
      </c>
      <c r="F101" s="210" t="s">
        <v>266</v>
      </c>
      <c r="G101" s="33"/>
      <c r="H101" s="217">
        <f>SUM(H102:H103)</f>
        <v>7998.6</v>
      </c>
      <c r="I101" s="217">
        <f>SUM(I102:I103)</f>
        <v>8378.6</v>
      </c>
    </row>
    <row r="102" spans="1:9" ht="90" x14ac:dyDescent="0.35">
      <c r="A102" s="329"/>
      <c r="B102" s="494" t="s">
        <v>48</v>
      </c>
      <c r="C102" s="208" t="s">
        <v>38</v>
      </c>
      <c r="D102" s="209" t="s">
        <v>29</v>
      </c>
      <c r="E102" s="209" t="s">
        <v>36</v>
      </c>
      <c r="F102" s="210" t="s">
        <v>266</v>
      </c>
      <c r="G102" s="33" t="s">
        <v>49</v>
      </c>
      <c r="H102" s="217">
        <f>'прил9 (ведом 25-26)'!M371</f>
        <v>7200</v>
      </c>
      <c r="I102" s="217">
        <f>'прил9 (ведом 25-26)'!N371</f>
        <v>7200</v>
      </c>
    </row>
    <row r="103" spans="1:9" ht="36" x14ac:dyDescent="0.35">
      <c r="A103" s="329"/>
      <c r="B103" s="497" t="s">
        <v>53</v>
      </c>
      <c r="C103" s="676" t="s">
        <v>38</v>
      </c>
      <c r="D103" s="677" t="s">
        <v>29</v>
      </c>
      <c r="E103" s="677" t="s">
        <v>36</v>
      </c>
      <c r="F103" s="678" t="s">
        <v>266</v>
      </c>
      <c r="G103" s="15" t="s">
        <v>54</v>
      </c>
      <c r="H103" s="217">
        <f>'прил9 (ведом 25-26)'!M372</f>
        <v>798.6</v>
      </c>
      <c r="I103" s="217">
        <f>'прил9 (ведом 25-26)'!N372</f>
        <v>1178.5999999999999</v>
      </c>
    </row>
    <row r="104" spans="1:9" ht="216" x14ac:dyDescent="0.35">
      <c r="A104" s="329"/>
      <c r="B104" s="494" t="s">
        <v>426</v>
      </c>
      <c r="C104" s="208" t="s">
        <v>38</v>
      </c>
      <c r="D104" s="209" t="s">
        <v>29</v>
      </c>
      <c r="E104" s="209" t="s">
        <v>36</v>
      </c>
      <c r="F104" s="210" t="s">
        <v>342</v>
      </c>
      <c r="G104" s="33"/>
      <c r="H104" s="217">
        <f>SUM(H105:H105)</f>
        <v>2291.5</v>
      </c>
      <c r="I104" s="217">
        <f>SUM(I105:I105)</f>
        <v>2262.3000000000002</v>
      </c>
    </row>
    <row r="105" spans="1:9" ht="36" x14ac:dyDescent="0.35">
      <c r="A105" s="329"/>
      <c r="B105" s="494" t="s">
        <v>74</v>
      </c>
      <c r="C105" s="208" t="s">
        <v>38</v>
      </c>
      <c r="D105" s="209" t="s">
        <v>29</v>
      </c>
      <c r="E105" s="209" t="s">
        <v>36</v>
      </c>
      <c r="F105" s="210" t="s">
        <v>342</v>
      </c>
      <c r="G105" s="33" t="s">
        <v>75</v>
      </c>
      <c r="H105" s="217">
        <f>'прил9 (ведом 25-26)'!M339</f>
        <v>2291.5</v>
      </c>
      <c r="I105" s="217">
        <f>'прил9 (ведом 25-26)'!N339</f>
        <v>2262.3000000000002</v>
      </c>
    </row>
    <row r="106" spans="1:9" ht="36" x14ac:dyDescent="0.35">
      <c r="A106" s="329"/>
      <c r="B106" s="494" t="s">
        <v>277</v>
      </c>
      <c r="C106" s="208" t="s">
        <v>38</v>
      </c>
      <c r="D106" s="209" t="s">
        <v>29</v>
      </c>
      <c r="E106" s="209" t="s">
        <v>38</v>
      </c>
      <c r="F106" s="210" t="s">
        <v>43</v>
      </c>
      <c r="G106" s="33"/>
      <c r="H106" s="217">
        <f>H107</f>
        <v>5790.9</v>
      </c>
      <c r="I106" s="217">
        <f>I107</f>
        <v>6022</v>
      </c>
    </row>
    <row r="107" spans="1:9" ht="108" x14ac:dyDescent="0.35">
      <c r="A107" s="329"/>
      <c r="B107" s="494" t="s">
        <v>431</v>
      </c>
      <c r="C107" s="208" t="s">
        <v>38</v>
      </c>
      <c r="D107" s="209" t="s">
        <v>29</v>
      </c>
      <c r="E107" s="209" t="s">
        <v>38</v>
      </c>
      <c r="F107" s="210" t="s">
        <v>430</v>
      </c>
      <c r="G107" s="33"/>
      <c r="H107" s="217">
        <f>H108</f>
        <v>5790.9</v>
      </c>
      <c r="I107" s="217">
        <f>I108</f>
        <v>6022</v>
      </c>
    </row>
    <row r="108" spans="1:9" ht="36" x14ac:dyDescent="0.35">
      <c r="A108" s="329"/>
      <c r="B108" s="494" t="s">
        <v>74</v>
      </c>
      <c r="C108" s="208" t="s">
        <v>38</v>
      </c>
      <c r="D108" s="209" t="s">
        <v>29</v>
      </c>
      <c r="E108" s="209" t="s">
        <v>38</v>
      </c>
      <c r="F108" s="210" t="s">
        <v>430</v>
      </c>
      <c r="G108" s="33" t="s">
        <v>75</v>
      </c>
      <c r="H108" s="217">
        <f>'прил9 (ведом 25-26)'!M375</f>
        <v>5790.9</v>
      </c>
      <c r="I108" s="217">
        <f>'прил9 (ведом 25-26)'!N375</f>
        <v>6022</v>
      </c>
    </row>
    <row r="109" spans="1:9" ht="36" x14ac:dyDescent="0.35">
      <c r="A109" s="329"/>
      <c r="B109" s="499" t="s">
        <v>347</v>
      </c>
      <c r="C109" s="669" t="s">
        <v>38</v>
      </c>
      <c r="D109" s="670" t="s">
        <v>29</v>
      </c>
      <c r="E109" s="670" t="s">
        <v>61</v>
      </c>
      <c r="F109" s="671" t="s">
        <v>43</v>
      </c>
      <c r="G109" s="238"/>
      <c r="H109" s="217">
        <f>H110</f>
        <v>515.5</v>
      </c>
      <c r="I109" s="217">
        <f>I110</f>
        <v>515.5</v>
      </c>
    </row>
    <row r="110" spans="1:9" ht="54" x14ac:dyDescent="0.35">
      <c r="A110" s="329"/>
      <c r="B110" s="499" t="s">
        <v>462</v>
      </c>
      <c r="C110" s="669" t="s">
        <v>38</v>
      </c>
      <c r="D110" s="670" t="s">
        <v>29</v>
      </c>
      <c r="E110" s="670" t="s">
        <v>61</v>
      </c>
      <c r="F110" s="671" t="s">
        <v>103</v>
      </c>
      <c r="G110" s="238"/>
      <c r="H110" s="217">
        <f>H111</f>
        <v>515.5</v>
      </c>
      <c r="I110" s="217">
        <f>I111</f>
        <v>515.5</v>
      </c>
    </row>
    <row r="111" spans="1:9" ht="36" x14ac:dyDescent="0.35">
      <c r="A111" s="329"/>
      <c r="B111" s="499" t="s">
        <v>53</v>
      </c>
      <c r="C111" s="669" t="s">
        <v>38</v>
      </c>
      <c r="D111" s="670" t="s">
        <v>29</v>
      </c>
      <c r="E111" s="670" t="s">
        <v>61</v>
      </c>
      <c r="F111" s="671" t="s">
        <v>103</v>
      </c>
      <c r="G111" s="238" t="s">
        <v>54</v>
      </c>
      <c r="H111" s="217">
        <f>'прил9 (ведом 25-26)'!M274</f>
        <v>515.5</v>
      </c>
      <c r="I111" s="217">
        <f>'прил9 (ведом 25-26)'!N274</f>
        <v>515.5</v>
      </c>
    </row>
    <row r="112" spans="1:9" ht="36" x14ac:dyDescent="0.35">
      <c r="A112" s="329"/>
      <c r="B112" s="499" t="s">
        <v>458</v>
      </c>
      <c r="C112" s="669" t="s">
        <v>38</v>
      </c>
      <c r="D112" s="670" t="s">
        <v>29</v>
      </c>
      <c r="E112" s="670" t="s">
        <v>50</v>
      </c>
      <c r="F112" s="671" t="s">
        <v>43</v>
      </c>
      <c r="G112" s="238"/>
      <c r="H112" s="217">
        <f>H113</f>
        <v>24</v>
      </c>
      <c r="I112" s="217">
        <f>I113</f>
        <v>24</v>
      </c>
    </row>
    <row r="113" spans="1:9" ht="18" x14ac:dyDescent="0.35">
      <c r="A113" s="329"/>
      <c r="B113" s="499" t="s">
        <v>463</v>
      </c>
      <c r="C113" s="669" t="s">
        <v>38</v>
      </c>
      <c r="D113" s="670" t="s">
        <v>29</v>
      </c>
      <c r="E113" s="670" t="s">
        <v>50</v>
      </c>
      <c r="F113" s="671" t="s">
        <v>457</v>
      </c>
      <c r="G113" s="238"/>
      <c r="H113" s="217">
        <f>H114</f>
        <v>24</v>
      </c>
      <c r="I113" s="217">
        <f>I114</f>
        <v>24</v>
      </c>
    </row>
    <row r="114" spans="1:9" ht="36" x14ac:dyDescent="0.35">
      <c r="A114" s="329"/>
      <c r="B114" s="499" t="s">
        <v>53</v>
      </c>
      <c r="C114" s="669" t="s">
        <v>38</v>
      </c>
      <c r="D114" s="670" t="s">
        <v>29</v>
      </c>
      <c r="E114" s="670" t="s">
        <v>50</v>
      </c>
      <c r="F114" s="671" t="s">
        <v>457</v>
      </c>
      <c r="G114" s="238" t="s">
        <v>54</v>
      </c>
      <c r="H114" s="217">
        <f>'прил9 (ведом 25-26)'!M277</f>
        <v>24</v>
      </c>
      <c r="I114" s="217">
        <f>'прил9 (ведом 25-26)'!N277</f>
        <v>24</v>
      </c>
    </row>
    <row r="115" spans="1:9" ht="36" x14ac:dyDescent="0.35">
      <c r="A115" s="329"/>
      <c r="B115" s="499" t="s">
        <v>461</v>
      </c>
      <c r="C115" s="669" t="s">
        <v>38</v>
      </c>
      <c r="D115" s="670" t="s">
        <v>29</v>
      </c>
      <c r="E115" s="670" t="s">
        <v>63</v>
      </c>
      <c r="F115" s="671" t="s">
        <v>43</v>
      </c>
      <c r="G115" s="238"/>
      <c r="H115" s="217">
        <f>H116</f>
        <v>114.8</v>
      </c>
      <c r="I115" s="217">
        <f>I116</f>
        <v>114.2</v>
      </c>
    </row>
    <row r="116" spans="1:9" ht="36" x14ac:dyDescent="0.35">
      <c r="A116" s="329"/>
      <c r="B116" s="499" t="s">
        <v>125</v>
      </c>
      <c r="C116" s="669" t="s">
        <v>38</v>
      </c>
      <c r="D116" s="670" t="s">
        <v>29</v>
      </c>
      <c r="E116" s="670" t="s">
        <v>63</v>
      </c>
      <c r="F116" s="671" t="s">
        <v>88</v>
      </c>
      <c r="G116" s="238"/>
      <c r="H116" s="217">
        <f>H117</f>
        <v>114.8</v>
      </c>
      <c r="I116" s="217">
        <f>I117</f>
        <v>114.2</v>
      </c>
    </row>
    <row r="117" spans="1:9" ht="36" x14ac:dyDescent="0.35">
      <c r="A117" s="329"/>
      <c r="B117" s="499" t="s">
        <v>53</v>
      </c>
      <c r="C117" s="669" t="s">
        <v>38</v>
      </c>
      <c r="D117" s="670" t="s">
        <v>29</v>
      </c>
      <c r="E117" s="670" t="s">
        <v>63</v>
      </c>
      <c r="F117" s="671" t="s">
        <v>88</v>
      </c>
      <c r="G117" s="238" t="s">
        <v>54</v>
      </c>
      <c r="H117" s="217">
        <f>'прил9 (ведом 25-26)'!M280</f>
        <v>114.8</v>
      </c>
      <c r="I117" s="217">
        <f>'прил9 (ведом 25-26)'!N280</f>
        <v>114.2</v>
      </c>
    </row>
    <row r="118" spans="1:9" ht="18" x14ac:dyDescent="0.35">
      <c r="A118" s="329"/>
      <c r="B118" s="500"/>
      <c r="C118" s="669"/>
      <c r="D118" s="670"/>
      <c r="E118" s="670"/>
      <c r="F118" s="671"/>
      <c r="G118" s="238"/>
      <c r="H118" s="217"/>
      <c r="I118" s="217"/>
    </row>
    <row r="119" spans="1:9" s="339" customFormat="1" ht="52.2" x14ac:dyDescent="0.3">
      <c r="A119" s="344">
        <v>2</v>
      </c>
      <c r="B119" s="492" t="s">
        <v>210</v>
      </c>
      <c r="C119" s="345" t="s">
        <v>61</v>
      </c>
      <c r="D119" s="345" t="s">
        <v>41</v>
      </c>
      <c r="E119" s="345" t="s">
        <v>42</v>
      </c>
      <c r="F119" s="346" t="s">
        <v>43</v>
      </c>
      <c r="G119" s="338"/>
      <c r="H119" s="251">
        <f>H120+H145+H139</f>
        <v>118607.00000000001</v>
      </c>
      <c r="I119" s="251">
        <f>I120+I145+I139</f>
        <v>118644.40000000001</v>
      </c>
    </row>
    <row r="120" spans="1:9" s="339" customFormat="1" ht="54" x14ac:dyDescent="0.35">
      <c r="A120" s="329"/>
      <c r="B120" s="501" t="s">
        <v>211</v>
      </c>
      <c r="C120" s="208" t="s">
        <v>61</v>
      </c>
      <c r="D120" s="209" t="s">
        <v>44</v>
      </c>
      <c r="E120" s="209" t="s">
        <v>42</v>
      </c>
      <c r="F120" s="210" t="s">
        <v>43</v>
      </c>
      <c r="G120" s="238"/>
      <c r="H120" s="217">
        <f>H121+H126+H129+H136</f>
        <v>105917.30000000002</v>
      </c>
      <c r="I120" s="217">
        <f>I121+I126+I129+I136</f>
        <v>105969.90000000001</v>
      </c>
    </row>
    <row r="121" spans="1:9" s="339" customFormat="1" ht="36" x14ac:dyDescent="0.35">
      <c r="A121" s="329"/>
      <c r="B121" s="501" t="s">
        <v>272</v>
      </c>
      <c r="C121" s="208" t="s">
        <v>61</v>
      </c>
      <c r="D121" s="209" t="s">
        <v>44</v>
      </c>
      <c r="E121" s="209" t="s">
        <v>36</v>
      </c>
      <c r="F121" s="210" t="s">
        <v>43</v>
      </c>
      <c r="G121" s="238"/>
      <c r="H121" s="217">
        <f>H122+H124</f>
        <v>73887.700000000012</v>
      </c>
      <c r="I121" s="217">
        <f>I122+I124</f>
        <v>73941.100000000006</v>
      </c>
    </row>
    <row r="122" spans="1:9" s="339" customFormat="1" ht="36" x14ac:dyDescent="0.35">
      <c r="A122" s="329"/>
      <c r="B122" s="493" t="s">
        <v>454</v>
      </c>
      <c r="C122" s="208" t="s">
        <v>61</v>
      </c>
      <c r="D122" s="209" t="s">
        <v>44</v>
      </c>
      <c r="E122" s="209" t="s">
        <v>36</v>
      </c>
      <c r="F122" s="210" t="s">
        <v>89</v>
      </c>
      <c r="G122" s="33"/>
      <c r="H122" s="217">
        <f>H123</f>
        <v>66324.600000000006</v>
      </c>
      <c r="I122" s="217">
        <f>I123</f>
        <v>66378</v>
      </c>
    </row>
    <row r="123" spans="1:9" s="339" customFormat="1" ht="36" x14ac:dyDescent="0.35">
      <c r="A123" s="329"/>
      <c r="B123" s="496" t="s">
        <v>74</v>
      </c>
      <c r="C123" s="208" t="s">
        <v>61</v>
      </c>
      <c r="D123" s="209" t="s">
        <v>44</v>
      </c>
      <c r="E123" s="209" t="s">
        <v>36</v>
      </c>
      <c r="F123" s="210" t="s">
        <v>89</v>
      </c>
      <c r="G123" s="33" t="s">
        <v>75</v>
      </c>
      <c r="H123" s="217">
        <f>'прил9 (ведом 25-26)'!M410</f>
        <v>66324.600000000006</v>
      </c>
      <c r="I123" s="217">
        <f>'прил9 (ведом 25-26)'!N410</f>
        <v>66378</v>
      </c>
    </row>
    <row r="124" spans="1:9" s="339" customFormat="1" ht="36" x14ac:dyDescent="0.35">
      <c r="A124" s="329"/>
      <c r="B124" s="502" t="s">
        <v>311</v>
      </c>
      <c r="C124" s="208" t="s">
        <v>61</v>
      </c>
      <c r="D124" s="209" t="s">
        <v>44</v>
      </c>
      <c r="E124" s="209" t="s">
        <v>36</v>
      </c>
      <c r="F124" s="210" t="s">
        <v>312</v>
      </c>
      <c r="G124" s="33"/>
      <c r="H124" s="217">
        <f>'прил9 (ведом 25-26)'!M411</f>
        <v>7563.1</v>
      </c>
      <c r="I124" s="217">
        <f>'прил9 (ведом 25-26)'!N411</f>
        <v>7563.1</v>
      </c>
    </row>
    <row r="125" spans="1:9" s="339" customFormat="1" ht="36" x14ac:dyDescent="0.35">
      <c r="A125" s="329"/>
      <c r="B125" s="502" t="s">
        <v>74</v>
      </c>
      <c r="C125" s="208" t="s">
        <v>61</v>
      </c>
      <c r="D125" s="209" t="s">
        <v>44</v>
      </c>
      <c r="E125" s="209" t="s">
        <v>36</v>
      </c>
      <c r="F125" s="210" t="s">
        <v>312</v>
      </c>
      <c r="G125" s="33" t="s">
        <v>75</v>
      </c>
      <c r="H125" s="217">
        <f>'прил9 (ведом 25-26)'!M412</f>
        <v>7563.1</v>
      </c>
      <c r="I125" s="217">
        <f>'прил9 (ведом 25-26)'!N412</f>
        <v>7563.1</v>
      </c>
    </row>
    <row r="126" spans="1:9" s="339" customFormat="1" ht="18" x14ac:dyDescent="0.35">
      <c r="A126" s="329"/>
      <c r="B126" s="502" t="s">
        <v>273</v>
      </c>
      <c r="C126" s="208" t="s">
        <v>61</v>
      </c>
      <c r="D126" s="209" t="s">
        <v>44</v>
      </c>
      <c r="E126" s="209" t="s">
        <v>38</v>
      </c>
      <c r="F126" s="210" t="s">
        <v>43</v>
      </c>
      <c r="G126" s="33"/>
      <c r="H126" s="217">
        <f>H127</f>
        <v>450</v>
      </c>
      <c r="I126" s="217">
        <f>I127</f>
        <v>450</v>
      </c>
    </row>
    <row r="127" spans="1:9" s="339" customFormat="1" ht="36" x14ac:dyDescent="0.35">
      <c r="A127" s="329"/>
      <c r="B127" s="502" t="s">
        <v>208</v>
      </c>
      <c r="C127" s="208" t="s">
        <v>61</v>
      </c>
      <c r="D127" s="209" t="s">
        <v>44</v>
      </c>
      <c r="E127" s="209" t="s">
        <v>38</v>
      </c>
      <c r="F127" s="210" t="s">
        <v>275</v>
      </c>
      <c r="G127" s="33"/>
      <c r="H127" s="217">
        <f>H128</f>
        <v>450</v>
      </c>
      <c r="I127" s="217">
        <f>I128</f>
        <v>450</v>
      </c>
    </row>
    <row r="128" spans="1:9" s="339" customFormat="1" ht="18" x14ac:dyDescent="0.35">
      <c r="A128" s="329"/>
      <c r="B128" s="502" t="s">
        <v>118</v>
      </c>
      <c r="C128" s="208" t="s">
        <v>61</v>
      </c>
      <c r="D128" s="209" t="s">
        <v>44</v>
      </c>
      <c r="E128" s="209" t="s">
        <v>38</v>
      </c>
      <c r="F128" s="210" t="s">
        <v>275</v>
      </c>
      <c r="G128" s="33" t="s">
        <v>119</v>
      </c>
      <c r="H128" s="217">
        <f>'прил9 (ведом 25-26)'!M418</f>
        <v>450</v>
      </c>
      <c r="I128" s="217">
        <f>'прил9 (ведом 25-26)'!N418</f>
        <v>450</v>
      </c>
    </row>
    <row r="129" spans="1:9" s="339" customFormat="1" ht="18" x14ac:dyDescent="0.35">
      <c r="A129" s="329"/>
      <c r="B129" s="493" t="s">
        <v>313</v>
      </c>
      <c r="C129" s="347" t="s">
        <v>61</v>
      </c>
      <c r="D129" s="348" t="s">
        <v>44</v>
      </c>
      <c r="E129" s="348" t="s">
        <v>61</v>
      </c>
      <c r="F129" s="349" t="s">
        <v>43</v>
      </c>
      <c r="G129" s="350"/>
      <c r="H129" s="217">
        <f>H130+H134+H132</f>
        <v>16259.3</v>
      </c>
      <c r="I129" s="217">
        <f>I130+I134+I132</f>
        <v>16231</v>
      </c>
    </row>
    <row r="130" spans="1:9" s="339" customFormat="1" ht="36" x14ac:dyDescent="0.35">
      <c r="A130" s="329"/>
      <c r="B130" s="493" t="s">
        <v>454</v>
      </c>
      <c r="C130" s="347" t="s">
        <v>61</v>
      </c>
      <c r="D130" s="348" t="s">
        <v>44</v>
      </c>
      <c r="E130" s="348" t="s">
        <v>61</v>
      </c>
      <c r="F130" s="349" t="s">
        <v>89</v>
      </c>
      <c r="G130" s="350"/>
      <c r="H130" s="217">
        <f>H131</f>
        <v>15497.9</v>
      </c>
      <c r="I130" s="217">
        <f>I131</f>
        <v>15458</v>
      </c>
    </row>
    <row r="131" spans="1:9" s="339" customFormat="1" ht="36" x14ac:dyDescent="0.35">
      <c r="A131" s="329"/>
      <c r="B131" s="496" t="s">
        <v>74</v>
      </c>
      <c r="C131" s="208" t="s">
        <v>61</v>
      </c>
      <c r="D131" s="209" t="s">
        <v>44</v>
      </c>
      <c r="E131" s="209" t="s">
        <v>61</v>
      </c>
      <c r="F131" s="210" t="s">
        <v>89</v>
      </c>
      <c r="G131" s="33" t="s">
        <v>75</v>
      </c>
      <c r="H131" s="217">
        <f>'прил9 (ведом 25-26)'!M425</f>
        <v>15497.9</v>
      </c>
      <c r="I131" s="217">
        <f>'прил9 (ведом 25-26)'!N425</f>
        <v>15458</v>
      </c>
    </row>
    <row r="132" spans="1:9" s="339" customFormat="1" ht="36" x14ac:dyDescent="0.35">
      <c r="A132" s="329"/>
      <c r="B132" s="504" t="s">
        <v>311</v>
      </c>
      <c r="C132" s="676" t="s">
        <v>61</v>
      </c>
      <c r="D132" s="677" t="s">
        <v>44</v>
      </c>
      <c r="E132" s="677" t="s">
        <v>61</v>
      </c>
      <c r="F132" s="678" t="s">
        <v>312</v>
      </c>
      <c r="G132" s="15"/>
      <c r="H132" s="217">
        <f>H133</f>
        <v>321.8</v>
      </c>
      <c r="I132" s="217">
        <f>I133</f>
        <v>321.8</v>
      </c>
    </row>
    <row r="133" spans="1:9" s="339" customFormat="1" ht="36" x14ac:dyDescent="0.35">
      <c r="A133" s="329"/>
      <c r="B133" s="504" t="s">
        <v>74</v>
      </c>
      <c r="C133" s="676" t="s">
        <v>61</v>
      </c>
      <c r="D133" s="677" t="s">
        <v>44</v>
      </c>
      <c r="E133" s="677" t="s">
        <v>61</v>
      </c>
      <c r="F133" s="678" t="s">
        <v>312</v>
      </c>
      <c r="G133" s="15" t="s">
        <v>75</v>
      </c>
      <c r="H133" s="217">
        <f>'прил9 (ведом 25-26)'!M427</f>
        <v>321.8</v>
      </c>
      <c r="I133" s="217">
        <f>'прил9 (ведом 25-26)'!N427</f>
        <v>321.8</v>
      </c>
    </row>
    <row r="134" spans="1:9" s="339" customFormat="1" ht="18" x14ac:dyDescent="0.35">
      <c r="A134" s="329"/>
      <c r="B134" s="504" t="s">
        <v>520</v>
      </c>
      <c r="C134" s="676" t="s">
        <v>61</v>
      </c>
      <c r="D134" s="677" t="s">
        <v>44</v>
      </c>
      <c r="E134" s="677" t="s">
        <v>61</v>
      </c>
      <c r="F134" s="678" t="s">
        <v>519</v>
      </c>
      <c r="G134" s="15"/>
      <c r="H134" s="217">
        <f>H135</f>
        <v>439.6</v>
      </c>
      <c r="I134" s="217">
        <f>I135</f>
        <v>451.2</v>
      </c>
    </row>
    <row r="135" spans="1:9" s="339" customFormat="1" ht="36" x14ac:dyDescent="0.35">
      <c r="A135" s="329"/>
      <c r="B135" s="504" t="s">
        <v>74</v>
      </c>
      <c r="C135" s="676" t="s">
        <v>61</v>
      </c>
      <c r="D135" s="677" t="s">
        <v>44</v>
      </c>
      <c r="E135" s="677" t="s">
        <v>61</v>
      </c>
      <c r="F135" s="678" t="s">
        <v>519</v>
      </c>
      <c r="G135" s="15" t="s">
        <v>75</v>
      </c>
      <c r="H135" s="217">
        <f>'прил9 (ведом 25-26)'!M429</f>
        <v>439.6</v>
      </c>
      <c r="I135" s="217">
        <f>'прил9 (ведом 25-26)'!N429</f>
        <v>451.2</v>
      </c>
    </row>
    <row r="136" spans="1:9" s="339" customFormat="1" ht="36" x14ac:dyDescent="0.35">
      <c r="A136" s="329"/>
      <c r="B136" s="496" t="s">
        <v>315</v>
      </c>
      <c r="C136" s="347" t="s">
        <v>61</v>
      </c>
      <c r="D136" s="348" t="s">
        <v>44</v>
      </c>
      <c r="E136" s="348" t="s">
        <v>50</v>
      </c>
      <c r="F136" s="210" t="s">
        <v>43</v>
      </c>
      <c r="G136" s="33"/>
      <c r="H136" s="217">
        <f>H137</f>
        <v>15320.3</v>
      </c>
      <c r="I136" s="217">
        <f>I137</f>
        <v>15347.8</v>
      </c>
    </row>
    <row r="137" spans="1:9" s="339" customFormat="1" ht="36" x14ac:dyDescent="0.35">
      <c r="A137" s="329"/>
      <c r="B137" s="493" t="s">
        <v>454</v>
      </c>
      <c r="C137" s="347" t="s">
        <v>61</v>
      </c>
      <c r="D137" s="348" t="s">
        <v>44</v>
      </c>
      <c r="E137" s="348" t="s">
        <v>50</v>
      </c>
      <c r="F137" s="349" t="s">
        <v>89</v>
      </c>
      <c r="G137" s="350"/>
      <c r="H137" s="217">
        <f>SUM(H138:H138)</f>
        <v>15320.3</v>
      </c>
      <c r="I137" s="217">
        <f>SUM(I138:I138)</f>
        <v>15347.8</v>
      </c>
    </row>
    <row r="138" spans="1:9" s="339" customFormat="1" ht="90" x14ac:dyDescent="0.35">
      <c r="A138" s="329"/>
      <c r="B138" s="494" t="s">
        <v>48</v>
      </c>
      <c r="C138" s="208" t="s">
        <v>61</v>
      </c>
      <c r="D138" s="209" t="s">
        <v>44</v>
      </c>
      <c r="E138" s="209" t="s">
        <v>50</v>
      </c>
      <c r="F138" s="210" t="s">
        <v>89</v>
      </c>
      <c r="G138" s="33" t="s">
        <v>49</v>
      </c>
      <c r="H138" s="217">
        <f>'прил9 (ведом 25-26)'!M432</f>
        <v>15320.3</v>
      </c>
      <c r="I138" s="217">
        <f>'прил9 (ведом 25-26)'!N432</f>
        <v>15347.8</v>
      </c>
    </row>
    <row r="139" spans="1:9" s="339" customFormat="1" ht="36" x14ac:dyDescent="0.35">
      <c r="A139" s="329"/>
      <c r="B139" s="494" t="s">
        <v>323</v>
      </c>
      <c r="C139" s="347" t="s">
        <v>61</v>
      </c>
      <c r="D139" s="348" t="s">
        <v>87</v>
      </c>
      <c r="E139" s="348" t="s">
        <v>42</v>
      </c>
      <c r="F139" s="210" t="s">
        <v>43</v>
      </c>
      <c r="G139" s="33"/>
      <c r="H139" s="217">
        <f>H140</f>
        <v>478.7</v>
      </c>
      <c r="I139" s="217">
        <f>I140</f>
        <v>458.8</v>
      </c>
    </row>
    <row r="140" spans="1:9" s="339" customFormat="1" ht="90" x14ac:dyDescent="0.35">
      <c r="A140" s="329"/>
      <c r="B140" s="502" t="s">
        <v>316</v>
      </c>
      <c r="C140" s="347" t="s">
        <v>61</v>
      </c>
      <c r="D140" s="348" t="s">
        <v>87</v>
      </c>
      <c r="E140" s="348" t="s">
        <v>61</v>
      </c>
      <c r="F140" s="210" t="s">
        <v>43</v>
      </c>
      <c r="G140" s="33"/>
      <c r="H140" s="217">
        <f>H143+H141</f>
        <v>478.7</v>
      </c>
      <c r="I140" s="217">
        <f>I143+I141</f>
        <v>458.8</v>
      </c>
    </row>
    <row r="141" spans="1:9" s="339" customFormat="1" ht="36" x14ac:dyDescent="0.35">
      <c r="A141" s="329"/>
      <c r="B141" s="502" t="s">
        <v>311</v>
      </c>
      <c r="C141" s="347" t="s">
        <v>61</v>
      </c>
      <c r="D141" s="348" t="s">
        <v>87</v>
      </c>
      <c r="E141" s="348" t="s">
        <v>61</v>
      </c>
      <c r="F141" s="210" t="s">
        <v>312</v>
      </c>
      <c r="G141" s="33"/>
      <c r="H141" s="217">
        <f>H142</f>
        <v>434.3</v>
      </c>
      <c r="I141" s="217">
        <f>I142</f>
        <v>414.40000000000003</v>
      </c>
    </row>
    <row r="142" spans="1:9" s="339" customFormat="1" ht="36" x14ac:dyDescent="0.35">
      <c r="A142" s="329"/>
      <c r="B142" s="494" t="s">
        <v>53</v>
      </c>
      <c r="C142" s="347" t="s">
        <v>61</v>
      </c>
      <c r="D142" s="348" t="s">
        <v>87</v>
      </c>
      <c r="E142" s="348" t="s">
        <v>61</v>
      </c>
      <c r="F142" s="210" t="s">
        <v>312</v>
      </c>
      <c r="G142" s="33" t="s">
        <v>54</v>
      </c>
      <c r="H142" s="217">
        <f>'прил9 (ведом 25-26)'!M436</f>
        <v>434.3</v>
      </c>
      <c r="I142" s="217">
        <f>'прил9 (ведом 25-26)'!N436</f>
        <v>414.40000000000003</v>
      </c>
    </row>
    <row r="143" spans="1:9" s="339" customFormat="1" ht="252" x14ac:dyDescent="0.35">
      <c r="A143" s="329"/>
      <c r="B143" s="502" t="s">
        <v>590</v>
      </c>
      <c r="C143" s="208" t="s">
        <v>61</v>
      </c>
      <c r="D143" s="209" t="s">
        <v>87</v>
      </c>
      <c r="E143" s="209" t="s">
        <v>61</v>
      </c>
      <c r="F143" s="210" t="s">
        <v>407</v>
      </c>
      <c r="G143" s="33"/>
      <c r="H143" s="217">
        <f>H144</f>
        <v>44.4</v>
      </c>
      <c r="I143" s="217">
        <f>I144</f>
        <v>44.4</v>
      </c>
    </row>
    <row r="144" spans="1:9" s="339" customFormat="1" ht="36" x14ac:dyDescent="0.35">
      <c r="A144" s="329"/>
      <c r="B144" s="502" t="s">
        <v>74</v>
      </c>
      <c r="C144" s="208" t="s">
        <v>61</v>
      </c>
      <c r="D144" s="209" t="s">
        <v>87</v>
      </c>
      <c r="E144" s="209" t="s">
        <v>61</v>
      </c>
      <c r="F144" s="210" t="s">
        <v>407</v>
      </c>
      <c r="G144" s="33" t="s">
        <v>75</v>
      </c>
      <c r="H144" s="217">
        <f>'прил9 (ведом 25-26)'!M438</f>
        <v>44.4</v>
      </c>
      <c r="I144" s="217">
        <f>'прил9 (ведом 25-26)'!N438</f>
        <v>44.4</v>
      </c>
    </row>
    <row r="145" spans="1:9" s="339" customFormat="1" ht="36" x14ac:dyDescent="0.35">
      <c r="A145" s="329"/>
      <c r="B145" s="493" t="s">
        <v>212</v>
      </c>
      <c r="C145" s="208" t="s">
        <v>61</v>
      </c>
      <c r="D145" s="209" t="s">
        <v>29</v>
      </c>
      <c r="E145" s="209" t="s">
        <v>42</v>
      </c>
      <c r="F145" s="210" t="s">
        <v>43</v>
      </c>
      <c r="G145" s="238"/>
      <c r="H145" s="217">
        <f>H146+H155</f>
        <v>12211</v>
      </c>
      <c r="I145" s="217">
        <f>I146+I155</f>
        <v>12215.7</v>
      </c>
    </row>
    <row r="146" spans="1:9" s="339" customFormat="1" ht="36" x14ac:dyDescent="0.35">
      <c r="A146" s="329"/>
      <c r="B146" s="493" t="s">
        <v>278</v>
      </c>
      <c r="C146" s="208" t="s">
        <v>61</v>
      </c>
      <c r="D146" s="209" t="s">
        <v>29</v>
      </c>
      <c r="E146" s="209" t="s">
        <v>36</v>
      </c>
      <c r="F146" s="210" t="s">
        <v>43</v>
      </c>
      <c r="G146" s="33"/>
      <c r="H146" s="217">
        <f>H147+H151</f>
        <v>12154.7</v>
      </c>
      <c r="I146" s="217">
        <f>I147+I151</f>
        <v>12159.400000000001</v>
      </c>
    </row>
    <row r="147" spans="1:9" ht="36" x14ac:dyDescent="0.35">
      <c r="A147" s="329"/>
      <c r="B147" s="493" t="s">
        <v>46</v>
      </c>
      <c r="C147" s="208" t="s">
        <v>61</v>
      </c>
      <c r="D147" s="209" t="s">
        <v>29</v>
      </c>
      <c r="E147" s="209" t="s">
        <v>36</v>
      </c>
      <c r="F147" s="210" t="s">
        <v>47</v>
      </c>
      <c r="G147" s="350"/>
      <c r="H147" s="217">
        <f>SUM(H148:H150)</f>
        <v>3689.2000000000003</v>
      </c>
      <c r="I147" s="217">
        <f>SUM(I148:I150)</f>
        <v>3690.2000000000003</v>
      </c>
    </row>
    <row r="148" spans="1:9" ht="90" x14ac:dyDescent="0.35">
      <c r="A148" s="329"/>
      <c r="B148" s="493" t="s">
        <v>48</v>
      </c>
      <c r="C148" s="208" t="s">
        <v>61</v>
      </c>
      <c r="D148" s="209" t="s">
        <v>29</v>
      </c>
      <c r="E148" s="209" t="s">
        <v>36</v>
      </c>
      <c r="F148" s="210" t="s">
        <v>47</v>
      </c>
      <c r="G148" s="350" t="s">
        <v>49</v>
      </c>
      <c r="H148" s="217">
        <f>'прил9 (ведом 25-26)'!M444</f>
        <v>3417.9</v>
      </c>
      <c r="I148" s="217">
        <f>'прил9 (ведом 25-26)'!N444</f>
        <v>3417.9</v>
      </c>
    </row>
    <row r="149" spans="1:9" ht="36" x14ac:dyDescent="0.35">
      <c r="A149" s="329"/>
      <c r="B149" s="493" t="s">
        <v>53</v>
      </c>
      <c r="C149" s="208" t="s">
        <v>61</v>
      </c>
      <c r="D149" s="209" t="s">
        <v>29</v>
      </c>
      <c r="E149" s="209" t="s">
        <v>36</v>
      </c>
      <c r="F149" s="210" t="s">
        <v>47</v>
      </c>
      <c r="G149" s="350" t="s">
        <v>54</v>
      </c>
      <c r="H149" s="217">
        <f>'прил9 (ведом 25-26)'!M445</f>
        <v>262.89999999999998</v>
      </c>
      <c r="I149" s="217">
        <f>'прил9 (ведом 25-26)'!N445</f>
        <v>263.89999999999998</v>
      </c>
    </row>
    <row r="150" spans="1:9" ht="18" x14ac:dyDescent="0.35">
      <c r="A150" s="329"/>
      <c r="B150" s="494" t="s">
        <v>55</v>
      </c>
      <c r="C150" s="208" t="s">
        <v>61</v>
      </c>
      <c r="D150" s="209" t="s">
        <v>29</v>
      </c>
      <c r="E150" s="209" t="s">
        <v>36</v>
      </c>
      <c r="F150" s="210" t="s">
        <v>47</v>
      </c>
      <c r="G150" s="33" t="s">
        <v>56</v>
      </c>
      <c r="H150" s="217">
        <f>'прил9 (ведом 25-26)'!M446</f>
        <v>8.4</v>
      </c>
      <c r="I150" s="217">
        <f>'прил9 (ведом 25-26)'!N446</f>
        <v>8.4</v>
      </c>
    </row>
    <row r="151" spans="1:9" ht="36" x14ac:dyDescent="0.35">
      <c r="A151" s="329"/>
      <c r="B151" s="493" t="s">
        <v>454</v>
      </c>
      <c r="C151" s="208" t="s">
        <v>61</v>
      </c>
      <c r="D151" s="209" t="s">
        <v>29</v>
      </c>
      <c r="E151" s="209" t="s">
        <v>36</v>
      </c>
      <c r="F151" s="210" t="s">
        <v>89</v>
      </c>
      <c r="G151" s="33"/>
      <c r="H151" s="217">
        <f>SUM(H152:H154)</f>
        <v>8465.5</v>
      </c>
      <c r="I151" s="217">
        <f>SUM(I152:I154)</f>
        <v>8469.2000000000007</v>
      </c>
    </row>
    <row r="152" spans="1:9" ht="90" x14ac:dyDescent="0.35">
      <c r="A152" s="329"/>
      <c r="B152" s="493" t="s">
        <v>48</v>
      </c>
      <c r="C152" s="208" t="s">
        <v>61</v>
      </c>
      <c r="D152" s="209" t="s">
        <v>29</v>
      </c>
      <c r="E152" s="209" t="s">
        <v>36</v>
      </c>
      <c r="F152" s="210" t="s">
        <v>89</v>
      </c>
      <c r="G152" s="350" t="s">
        <v>49</v>
      </c>
      <c r="H152" s="217">
        <f>'прил9 (ведом 25-26)'!M448</f>
        <v>7800.2</v>
      </c>
      <c r="I152" s="217">
        <f>'прил9 (ведом 25-26)'!N448</f>
        <v>7800.2</v>
      </c>
    </row>
    <row r="153" spans="1:9" ht="36" x14ac:dyDescent="0.35">
      <c r="A153" s="329"/>
      <c r="B153" s="494" t="s">
        <v>53</v>
      </c>
      <c r="C153" s="208" t="s">
        <v>61</v>
      </c>
      <c r="D153" s="209" t="s">
        <v>29</v>
      </c>
      <c r="E153" s="209" t="s">
        <v>36</v>
      </c>
      <c r="F153" s="210" t="s">
        <v>89</v>
      </c>
      <c r="G153" s="350" t="s">
        <v>54</v>
      </c>
      <c r="H153" s="217">
        <f>'прил9 (ведом 25-26)'!M449</f>
        <v>663.8</v>
      </c>
      <c r="I153" s="217">
        <f>'прил9 (ведом 25-26)'!N449</f>
        <v>667.5</v>
      </c>
    </row>
    <row r="154" spans="1:9" ht="18" x14ac:dyDescent="0.35">
      <c r="A154" s="329"/>
      <c r="B154" s="494" t="s">
        <v>55</v>
      </c>
      <c r="C154" s="208" t="s">
        <v>61</v>
      </c>
      <c r="D154" s="209" t="s">
        <v>29</v>
      </c>
      <c r="E154" s="209" t="s">
        <v>36</v>
      </c>
      <c r="F154" s="210" t="s">
        <v>89</v>
      </c>
      <c r="G154" s="33" t="s">
        <v>56</v>
      </c>
      <c r="H154" s="217">
        <f>'прил9 (ведом 25-26)'!M450</f>
        <v>1.5</v>
      </c>
      <c r="I154" s="217">
        <f>'прил9 (ведом 25-26)'!N450</f>
        <v>1.5</v>
      </c>
    </row>
    <row r="155" spans="1:9" ht="36" x14ac:dyDescent="0.35">
      <c r="A155" s="329"/>
      <c r="B155" s="494" t="s">
        <v>347</v>
      </c>
      <c r="C155" s="208" t="s">
        <v>61</v>
      </c>
      <c r="D155" s="209" t="s">
        <v>29</v>
      </c>
      <c r="E155" s="209" t="s">
        <v>38</v>
      </c>
      <c r="F155" s="210" t="s">
        <v>43</v>
      </c>
      <c r="G155" s="153"/>
      <c r="H155" s="217">
        <f>H156</f>
        <v>56.3</v>
      </c>
      <c r="I155" s="217">
        <f>I156</f>
        <v>56.3</v>
      </c>
    </row>
    <row r="156" spans="1:9" ht="54" x14ac:dyDescent="0.35">
      <c r="A156" s="329"/>
      <c r="B156" s="494" t="s">
        <v>348</v>
      </c>
      <c r="C156" s="208" t="s">
        <v>61</v>
      </c>
      <c r="D156" s="209" t="s">
        <v>29</v>
      </c>
      <c r="E156" s="209" t="s">
        <v>38</v>
      </c>
      <c r="F156" s="210" t="s">
        <v>103</v>
      </c>
      <c r="G156" s="153"/>
      <c r="H156" s="217">
        <f>H157</f>
        <v>56.3</v>
      </c>
      <c r="I156" s="217">
        <f>I157</f>
        <v>56.3</v>
      </c>
    </row>
    <row r="157" spans="1:9" ht="36" x14ac:dyDescent="0.35">
      <c r="A157" s="329"/>
      <c r="B157" s="494" t="s">
        <v>53</v>
      </c>
      <c r="C157" s="208" t="s">
        <v>61</v>
      </c>
      <c r="D157" s="209" t="s">
        <v>29</v>
      </c>
      <c r="E157" s="209" t="s">
        <v>38</v>
      </c>
      <c r="F157" s="210" t="s">
        <v>103</v>
      </c>
      <c r="G157" s="33" t="s">
        <v>54</v>
      </c>
      <c r="H157" s="217">
        <f>'прил9 (ведом 25-26)'!M403</f>
        <v>56.3</v>
      </c>
      <c r="I157" s="217">
        <f>'прил9 (ведом 25-26)'!N403</f>
        <v>56.3</v>
      </c>
    </row>
    <row r="158" spans="1:9" ht="18" x14ac:dyDescent="0.35">
      <c r="A158" s="329"/>
      <c r="B158" s="500"/>
      <c r="C158" s="670"/>
      <c r="D158" s="351"/>
      <c r="E158" s="297"/>
      <c r="F158" s="352"/>
      <c r="G158" s="238"/>
      <c r="H158" s="217"/>
      <c r="I158" s="217"/>
    </row>
    <row r="159" spans="1:9" s="339" customFormat="1" ht="52.2" x14ac:dyDescent="0.3">
      <c r="A159" s="344">
        <v>3</v>
      </c>
      <c r="B159" s="505" t="s">
        <v>213</v>
      </c>
      <c r="C159" s="345" t="s">
        <v>50</v>
      </c>
      <c r="D159" s="345" t="s">
        <v>41</v>
      </c>
      <c r="E159" s="345" t="s">
        <v>42</v>
      </c>
      <c r="F159" s="346" t="s">
        <v>43</v>
      </c>
      <c r="G159" s="338"/>
      <c r="H159" s="251">
        <f>H160+H167</f>
        <v>47256.500000000015</v>
      </c>
      <c r="I159" s="251">
        <f>I160+I167</f>
        <v>46386.000000000007</v>
      </c>
    </row>
    <row r="160" spans="1:9" s="339" customFormat="1" ht="18" x14ac:dyDescent="0.35">
      <c r="A160" s="344"/>
      <c r="B160" s="532" t="s">
        <v>214</v>
      </c>
      <c r="C160" s="208" t="s">
        <v>50</v>
      </c>
      <c r="D160" s="209" t="s">
        <v>44</v>
      </c>
      <c r="E160" s="209" t="s">
        <v>42</v>
      </c>
      <c r="F160" s="210" t="s">
        <v>43</v>
      </c>
      <c r="G160" s="338"/>
      <c r="H160" s="217">
        <f>H161+H164</f>
        <v>1360.6</v>
      </c>
      <c r="I160" s="217">
        <f>I161+I164</f>
        <v>1360.6</v>
      </c>
    </row>
    <row r="161" spans="1:9" s="339" customFormat="1" ht="18" x14ac:dyDescent="0.35">
      <c r="A161" s="344"/>
      <c r="B161" s="494" t="s">
        <v>273</v>
      </c>
      <c r="C161" s="208" t="s">
        <v>50</v>
      </c>
      <c r="D161" s="209" t="s">
        <v>44</v>
      </c>
      <c r="E161" s="209" t="s">
        <v>36</v>
      </c>
      <c r="F161" s="210" t="s">
        <v>43</v>
      </c>
      <c r="G161" s="33"/>
      <c r="H161" s="217">
        <f>H162</f>
        <v>450</v>
      </c>
      <c r="I161" s="217">
        <f>I162</f>
        <v>450</v>
      </c>
    </row>
    <row r="162" spans="1:9" s="339" customFormat="1" ht="36" x14ac:dyDescent="0.35">
      <c r="A162" s="344"/>
      <c r="B162" s="494" t="s">
        <v>274</v>
      </c>
      <c r="C162" s="208" t="s">
        <v>50</v>
      </c>
      <c r="D162" s="209" t="s">
        <v>44</v>
      </c>
      <c r="E162" s="209" t="s">
        <v>36</v>
      </c>
      <c r="F162" s="210" t="s">
        <v>275</v>
      </c>
      <c r="G162" s="33"/>
      <c r="H162" s="217">
        <f>H163</f>
        <v>450</v>
      </c>
      <c r="I162" s="217">
        <f>I163</f>
        <v>450</v>
      </c>
    </row>
    <row r="163" spans="1:9" s="339" customFormat="1" ht="18" x14ac:dyDescent="0.35">
      <c r="A163" s="344"/>
      <c r="B163" s="494" t="s">
        <v>118</v>
      </c>
      <c r="C163" s="208" t="s">
        <v>50</v>
      </c>
      <c r="D163" s="209" t="s">
        <v>44</v>
      </c>
      <c r="E163" s="209" t="s">
        <v>36</v>
      </c>
      <c r="F163" s="210" t="s">
        <v>275</v>
      </c>
      <c r="G163" s="33" t="s">
        <v>119</v>
      </c>
      <c r="H163" s="217">
        <f>'прил9 (ведом 25-26)'!M482</f>
        <v>450</v>
      </c>
      <c r="I163" s="217">
        <f>'прил9 (ведом 25-26)'!N482</f>
        <v>450</v>
      </c>
    </row>
    <row r="164" spans="1:9" ht="54" x14ac:dyDescent="0.35">
      <c r="A164" s="329"/>
      <c r="B164" s="494" t="s">
        <v>287</v>
      </c>
      <c r="C164" s="208" t="s">
        <v>50</v>
      </c>
      <c r="D164" s="209" t="s">
        <v>44</v>
      </c>
      <c r="E164" s="209" t="s">
        <v>38</v>
      </c>
      <c r="F164" s="210" t="s">
        <v>43</v>
      </c>
      <c r="G164" s="33"/>
      <c r="H164" s="217">
        <f>H165</f>
        <v>910.6</v>
      </c>
      <c r="I164" s="217">
        <f>I165</f>
        <v>910.6</v>
      </c>
    </row>
    <row r="165" spans="1:9" ht="36" x14ac:dyDescent="0.35">
      <c r="A165" s="329"/>
      <c r="B165" s="494" t="s">
        <v>215</v>
      </c>
      <c r="C165" s="208" t="s">
        <v>50</v>
      </c>
      <c r="D165" s="209" t="s">
        <v>44</v>
      </c>
      <c r="E165" s="209" t="s">
        <v>38</v>
      </c>
      <c r="F165" s="210" t="s">
        <v>288</v>
      </c>
      <c r="G165" s="33"/>
      <c r="H165" s="217">
        <f>H166</f>
        <v>910.6</v>
      </c>
      <c r="I165" s="217">
        <f>I166</f>
        <v>910.6</v>
      </c>
    </row>
    <row r="166" spans="1:9" ht="36" x14ac:dyDescent="0.35">
      <c r="A166" s="329"/>
      <c r="B166" s="494" t="s">
        <v>53</v>
      </c>
      <c r="C166" s="208" t="s">
        <v>50</v>
      </c>
      <c r="D166" s="209" t="s">
        <v>44</v>
      </c>
      <c r="E166" s="209" t="s">
        <v>38</v>
      </c>
      <c r="F166" s="210" t="s">
        <v>288</v>
      </c>
      <c r="G166" s="33" t="s">
        <v>54</v>
      </c>
      <c r="H166" s="217">
        <f>'прил9 (ведом 25-26)'!M476</f>
        <v>910.6</v>
      </c>
      <c r="I166" s="217">
        <f>'прил9 (ведом 25-26)'!N476</f>
        <v>910.6</v>
      </c>
    </row>
    <row r="167" spans="1:9" ht="18" x14ac:dyDescent="0.35">
      <c r="A167" s="329"/>
      <c r="B167" s="493" t="s">
        <v>216</v>
      </c>
      <c r="C167" s="208" t="s">
        <v>50</v>
      </c>
      <c r="D167" s="209" t="s">
        <v>87</v>
      </c>
      <c r="E167" s="209" t="s">
        <v>42</v>
      </c>
      <c r="F167" s="210" t="s">
        <v>43</v>
      </c>
      <c r="G167" s="238"/>
      <c r="H167" s="217">
        <f>H168+H173+H184+H187</f>
        <v>45895.900000000016</v>
      </c>
      <c r="I167" s="217">
        <f>I168+I173+I184+I187</f>
        <v>45025.400000000009</v>
      </c>
    </row>
    <row r="168" spans="1:9" ht="36" x14ac:dyDescent="0.35">
      <c r="A168" s="329"/>
      <c r="B168" s="493" t="s">
        <v>278</v>
      </c>
      <c r="C168" s="208" t="s">
        <v>50</v>
      </c>
      <c r="D168" s="209" t="s">
        <v>87</v>
      </c>
      <c r="E168" s="209" t="s">
        <v>36</v>
      </c>
      <c r="F168" s="210" t="s">
        <v>43</v>
      </c>
      <c r="G168" s="33"/>
      <c r="H168" s="217">
        <f>H169</f>
        <v>3179.7999999999997</v>
      </c>
      <c r="I168" s="217">
        <f>I169</f>
        <v>3180.9</v>
      </c>
    </row>
    <row r="169" spans="1:9" ht="36" x14ac:dyDescent="0.35">
      <c r="A169" s="329"/>
      <c r="B169" s="493" t="s">
        <v>46</v>
      </c>
      <c r="C169" s="208" t="s">
        <v>50</v>
      </c>
      <c r="D169" s="209" t="s">
        <v>87</v>
      </c>
      <c r="E169" s="209" t="s">
        <v>36</v>
      </c>
      <c r="F169" s="210" t="s">
        <v>47</v>
      </c>
      <c r="G169" s="33"/>
      <c r="H169" s="217">
        <f>SUM(H170:H172)</f>
        <v>3179.7999999999997</v>
      </c>
      <c r="I169" s="217">
        <f>SUM(I170:I172)</f>
        <v>3180.9</v>
      </c>
    </row>
    <row r="170" spans="1:9" ht="90" x14ac:dyDescent="0.35">
      <c r="A170" s="329"/>
      <c r="B170" s="493" t="s">
        <v>48</v>
      </c>
      <c r="C170" s="208" t="s">
        <v>50</v>
      </c>
      <c r="D170" s="209" t="s">
        <v>87</v>
      </c>
      <c r="E170" s="209" t="s">
        <v>36</v>
      </c>
      <c r="F170" s="210" t="s">
        <v>47</v>
      </c>
      <c r="G170" s="33" t="s">
        <v>49</v>
      </c>
      <c r="H170" s="217">
        <f>'прил9 (ведом 25-26)'!M500</f>
        <v>3117.5</v>
      </c>
      <c r="I170" s="217">
        <f>'прил9 (ведом 25-26)'!N500</f>
        <v>3117.5</v>
      </c>
    </row>
    <row r="171" spans="1:9" ht="36" x14ac:dyDescent="0.35">
      <c r="A171" s="329"/>
      <c r="B171" s="494" t="s">
        <v>53</v>
      </c>
      <c r="C171" s="208" t="s">
        <v>50</v>
      </c>
      <c r="D171" s="209" t="s">
        <v>87</v>
      </c>
      <c r="E171" s="209" t="s">
        <v>36</v>
      </c>
      <c r="F171" s="210" t="s">
        <v>47</v>
      </c>
      <c r="G171" s="33" t="s">
        <v>54</v>
      </c>
      <c r="H171" s="217">
        <f>'прил9 (ведом 25-26)'!M501</f>
        <v>60.6</v>
      </c>
      <c r="I171" s="217">
        <f>'прил9 (ведом 25-26)'!N501</f>
        <v>61.8</v>
      </c>
    </row>
    <row r="172" spans="1:9" ht="18" x14ac:dyDescent="0.35">
      <c r="A172" s="329"/>
      <c r="B172" s="494" t="s">
        <v>55</v>
      </c>
      <c r="C172" s="208" t="s">
        <v>50</v>
      </c>
      <c r="D172" s="209" t="s">
        <v>87</v>
      </c>
      <c r="E172" s="209" t="s">
        <v>36</v>
      </c>
      <c r="F172" s="210" t="s">
        <v>47</v>
      </c>
      <c r="G172" s="33" t="s">
        <v>56</v>
      </c>
      <c r="H172" s="217">
        <f>'прил9 (ведом 25-26)'!M502</f>
        <v>1.7</v>
      </c>
      <c r="I172" s="217">
        <f>'прил9 (ведом 25-26)'!N502</f>
        <v>1.6</v>
      </c>
    </row>
    <row r="173" spans="1:9" ht="18" x14ac:dyDescent="0.35">
      <c r="A173" s="329"/>
      <c r="B173" s="493" t="s">
        <v>357</v>
      </c>
      <c r="C173" s="208" t="s">
        <v>50</v>
      </c>
      <c r="D173" s="209" t="s">
        <v>87</v>
      </c>
      <c r="E173" s="209" t="s">
        <v>38</v>
      </c>
      <c r="F173" s="210" t="s">
        <v>43</v>
      </c>
      <c r="G173" s="33"/>
      <c r="H173" s="217">
        <f>H174+H178+H180+H182</f>
        <v>37896.30000000001</v>
      </c>
      <c r="I173" s="217">
        <f>I174+I178+I180+I182</f>
        <v>37005.000000000007</v>
      </c>
    </row>
    <row r="174" spans="1:9" ht="36" x14ac:dyDescent="0.35">
      <c r="A174" s="329"/>
      <c r="B174" s="493" t="s">
        <v>454</v>
      </c>
      <c r="C174" s="208" t="s">
        <v>50</v>
      </c>
      <c r="D174" s="209" t="s">
        <v>87</v>
      </c>
      <c r="E174" s="209" t="s">
        <v>38</v>
      </c>
      <c r="F174" s="210" t="s">
        <v>89</v>
      </c>
      <c r="G174" s="33"/>
      <c r="H174" s="217">
        <f>SUM(H175:H177)</f>
        <v>31291.600000000002</v>
      </c>
      <c r="I174" s="217">
        <f>SUM(I175:I177)</f>
        <v>31402.400000000001</v>
      </c>
    </row>
    <row r="175" spans="1:9" ht="90" x14ac:dyDescent="0.35">
      <c r="A175" s="329"/>
      <c r="B175" s="493" t="s">
        <v>48</v>
      </c>
      <c r="C175" s="208" t="s">
        <v>50</v>
      </c>
      <c r="D175" s="209" t="s">
        <v>87</v>
      </c>
      <c r="E175" s="209" t="s">
        <v>38</v>
      </c>
      <c r="F175" s="210" t="s">
        <v>89</v>
      </c>
      <c r="G175" s="33" t="s">
        <v>49</v>
      </c>
      <c r="H175" s="217">
        <f>'прил9 (ведом 25-26)'!M486</f>
        <v>25492.400000000001</v>
      </c>
      <c r="I175" s="217">
        <f>'прил9 (ведом 25-26)'!N486</f>
        <v>25492.400000000001</v>
      </c>
    </row>
    <row r="176" spans="1:9" ht="36" x14ac:dyDescent="0.35">
      <c r="A176" s="329"/>
      <c r="B176" s="493" t="s">
        <v>53</v>
      </c>
      <c r="C176" s="208" t="s">
        <v>50</v>
      </c>
      <c r="D176" s="209" t="s">
        <v>87</v>
      </c>
      <c r="E176" s="209" t="s">
        <v>38</v>
      </c>
      <c r="F176" s="210" t="s">
        <v>89</v>
      </c>
      <c r="G176" s="33" t="s">
        <v>54</v>
      </c>
      <c r="H176" s="217">
        <f>'прил9 (ведом 25-26)'!M487</f>
        <v>5117.2</v>
      </c>
      <c r="I176" s="217">
        <f>'прил9 (ведом 25-26)'!N487</f>
        <v>5230</v>
      </c>
    </row>
    <row r="177" spans="1:9" ht="18" x14ac:dyDescent="0.35">
      <c r="A177" s="329"/>
      <c r="B177" s="493" t="s">
        <v>55</v>
      </c>
      <c r="C177" s="208" t="s">
        <v>50</v>
      </c>
      <c r="D177" s="209" t="s">
        <v>87</v>
      </c>
      <c r="E177" s="209" t="s">
        <v>38</v>
      </c>
      <c r="F177" s="210" t="s">
        <v>89</v>
      </c>
      <c r="G177" s="33" t="s">
        <v>56</v>
      </c>
      <c r="H177" s="217">
        <f>'прил9 (ведом 25-26)'!M488</f>
        <v>682</v>
      </c>
      <c r="I177" s="217">
        <f>'прил9 (ведом 25-26)'!N488</f>
        <v>680</v>
      </c>
    </row>
    <row r="178" spans="1:9" ht="36" x14ac:dyDescent="0.35">
      <c r="A178" s="329"/>
      <c r="B178" s="497" t="s">
        <v>215</v>
      </c>
      <c r="C178" s="676" t="s">
        <v>50</v>
      </c>
      <c r="D178" s="677" t="s">
        <v>87</v>
      </c>
      <c r="E178" s="677" t="s">
        <v>38</v>
      </c>
      <c r="F178" s="678" t="s">
        <v>288</v>
      </c>
      <c r="G178" s="15"/>
      <c r="H178" s="217">
        <f>H179</f>
        <v>4005.5</v>
      </c>
      <c r="I178" s="217">
        <f>I179</f>
        <v>4005.5</v>
      </c>
    </row>
    <row r="179" spans="1:9" ht="36" x14ac:dyDescent="0.35">
      <c r="A179" s="329"/>
      <c r="B179" s="497" t="s">
        <v>53</v>
      </c>
      <c r="C179" s="676" t="s">
        <v>50</v>
      </c>
      <c r="D179" s="677" t="s">
        <v>87</v>
      </c>
      <c r="E179" s="677" t="s">
        <v>38</v>
      </c>
      <c r="F179" s="678" t="s">
        <v>288</v>
      </c>
      <c r="G179" s="15" t="s">
        <v>54</v>
      </c>
      <c r="H179" s="217">
        <f>'прил9 (ведом 25-26)'!M490</f>
        <v>4005.5</v>
      </c>
      <c r="I179" s="217">
        <f>'прил9 (ведом 25-26)'!N490</f>
        <v>4005.5</v>
      </c>
    </row>
    <row r="180" spans="1:9" ht="180" x14ac:dyDescent="0.35">
      <c r="A180" s="329"/>
      <c r="B180" s="494" t="s">
        <v>427</v>
      </c>
      <c r="C180" s="208" t="s">
        <v>50</v>
      </c>
      <c r="D180" s="209" t="s">
        <v>87</v>
      </c>
      <c r="E180" s="209" t="s">
        <v>38</v>
      </c>
      <c r="F180" s="210" t="s">
        <v>385</v>
      </c>
      <c r="G180" s="33"/>
      <c r="H180" s="217">
        <f>H181</f>
        <v>93.8</v>
      </c>
      <c r="I180" s="217">
        <f>I181</f>
        <v>93.8</v>
      </c>
    </row>
    <row r="181" spans="1:9" ht="90" x14ac:dyDescent="0.35">
      <c r="A181" s="329"/>
      <c r="B181" s="494" t="s">
        <v>48</v>
      </c>
      <c r="C181" s="208" t="s">
        <v>50</v>
      </c>
      <c r="D181" s="209" t="s">
        <v>87</v>
      </c>
      <c r="E181" s="209" t="s">
        <v>38</v>
      </c>
      <c r="F181" s="210" t="s">
        <v>385</v>
      </c>
      <c r="G181" s="33" t="s">
        <v>49</v>
      </c>
      <c r="H181" s="217">
        <f>'прил9 (ведом 25-26)'!M492</f>
        <v>93.8</v>
      </c>
      <c r="I181" s="217">
        <f>'прил9 (ведом 25-26)'!N492</f>
        <v>93.8</v>
      </c>
    </row>
    <row r="182" spans="1:9" ht="54" x14ac:dyDescent="0.35">
      <c r="A182" s="329"/>
      <c r="B182" s="494" t="s">
        <v>429</v>
      </c>
      <c r="C182" s="208" t="s">
        <v>50</v>
      </c>
      <c r="D182" s="209" t="s">
        <v>87</v>
      </c>
      <c r="E182" s="209" t="s">
        <v>38</v>
      </c>
      <c r="F182" s="210" t="s">
        <v>405</v>
      </c>
      <c r="G182" s="33"/>
      <c r="H182" s="217">
        <f>H183</f>
        <v>2505.4</v>
      </c>
      <c r="I182" s="217">
        <f>I183</f>
        <v>1503.3000000000002</v>
      </c>
    </row>
    <row r="183" spans="1:9" ht="90" x14ac:dyDescent="0.35">
      <c r="A183" s="329"/>
      <c r="B183" s="494" t="s">
        <v>48</v>
      </c>
      <c r="C183" s="208" t="s">
        <v>50</v>
      </c>
      <c r="D183" s="209" t="s">
        <v>87</v>
      </c>
      <c r="E183" s="209" t="s">
        <v>38</v>
      </c>
      <c r="F183" s="210" t="s">
        <v>405</v>
      </c>
      <c r="G183" s="33" t="s">
        <v>49</v>
      </c>
      <c r="H183" s="217">
        <f>'прил9 (ведом 25-26)'!M494</f>
        <v>2505.4</v>
      </c>
      <c r="I183" s="217">
        <f>'прил9 (ведом 25-26)'!N494</f>
        <v>1503.3000000000002</v>
      </c>
    </row>
    <row r="184" spans="1:9" ht="36" x14ac:dyDescent="0.35">
      <c r="A184" s="329"/>
      <c r="B184" s="494" t="s">
        <v>347</v>
      </c>
      <c r="C184" s="208" t="s">
        <v>50</v>
      </c>
      <c r="D184" s="209" t="s">
        <v>87</v>
      </c>
      <c r="E184" s="209" t="s">
        <v>61</v>
      </c>
      <c r="F184" s="210" t="s">
        <v>43</v>
      </c>
      <c r="G184" s="33"/>
      <c r="H184" s="217">
        <f>H185</f>
        <v>51.9</v>
      </c>
      <c r="I184" s="217">
        <f>I185</f>
        <v>51.9</v>
      </c>
    </row>
    <row r="185" spans="1:9" ht="54" x14ac:dyDescent="0.35">
      <c r="A185" s="329"/>
      <c r="B185" s="494" t="s">
        <v>348</v>
      </c>
      <c r="C185" s="208" t="s">
        <v>50</v>
      </c>
      <c r="D185" s="209" t="s">
        <v>87</v>
      </c>
      <c r="E185" s="209" t="s">
        <v>61</v>
      </c>
      <c r="F185" s="210" t="s">
        <v>103</v>
      </c>
      <c r="G185" s="33"/>
      <c r="H185" s="217">
        <f>H186</f>
        <v>51.9</v>
      </c>
      <c r="I185" s="217">
        <f>I186</f>
        <v>51.9</v>
      </c>
    </row>
    <row r="186" spans="1:9" ht="36" x14ac:dyDescent="0.35">
      <c r="A186" s="329"/>
      <c r="B186" s="532" t="s">
        <v>53</v>
      </c>
      <c r="C186" s="208" t="s">
        <v>50</v>
      </c>
      <c r="D186" s="209" t="s">
        <v>87</v>
      </c>
      <c r="E186" s="209" t="s">
        <v>61</v>
      </c>
      <c r="F186" s="210" t="s">
        <v>103</v>
      </c>
      <c r="G186" s="33" t="s">
        <v>54</v>
      </c>
      <c r="H186" s="217">
        <f>'прил9 (ведом 25-26)'!M459</f>
        <v>51.9</v>
      </c>
      <c r="I186" s="217">
        <f>'прил9 (ведом 25-26)'!N459</f>
        <v>51.9</v>
      </c>
    </row>
    <row r="187" spans="1:9" ht="18" x14ac:dyDescent="0.35">
      <c r="A187" s="329"/>
      <c r="B187" s="497" t="s">
        <v>518</v>
      </c>
      <c r="C187" s="676" t="s">
        <v>50</v>
      </c>
      <c r="D187" s="677" t="s">
        <v>87</v>
      </c>
      <c r="E187" s="677" t="s">
        <v>50</v>
      </c>
      <c r="F187" s="678" t="s">
        <v>43</v>
      </c>
      <c r="G187" s="15"/>
      <c r="H187" s="217">
        <f>H188+H192</f>
        <v>4767.8999999999996</v>
      </c>
      <c r="I187" s="217">
        <f>I188+I192</f>
        <v>4787.5999999999995</v>
      </c>
    </row>
    <row r="188" spans="1:9" ht="36" x14ac:dyDescent="0.35">
      <c r="A188" s="329"/>
      <c r="B188" s="497" t="s">
        <v>454</v>
      </c>
      <c r="C188" s="676" t="s">
        <v>50</v>
      </c>
      <c r="D188" s="677" t="s">
        <v>87</v>
      </c>
      <c r="E188" s="677" t="s">
        <v>50</v>
      </c>
      <c r="F188" s="678" t="s">
        <v>89</v>
      </c>
      <c r="G188" s="15"/>
      <c r="H188" s="217">
        <f>H189+H190+H191</f>
        <v>3766.5</v>
      </c>
      <c r="I188" s="217">
        <f>I189+I190+I191</f>
        <v>3786.2</v>
      </c>
    </row>
    <row r="189" spans="1:9" ht="90" x14ac:dyDescent="0.35">
      <c r="A189" s="329"/>
      <c r="B189" s="497" t="s">
        <v>48</v>
      </c>
      <c r="C189" s="676" t="s">
        <v>50</v>
      </c>
      <c r="D189" s="677" t="s">
        <v>87</v>
      </c>
      <c r="E189" s="677" t="s">
        <v>50</v>
      </c>
      <c r="F189" s="678" t="s">
        <v>89</v>
      </c>
      <c r="G189" s="15" t="s">
        <v>49</v>
      </c>
      <c r="H189" s="217">
        <f>'прил9 (ведом 25-26)'!M466</f>
        <v>2270.4</v>
      </c>
      <c r="I189" s="217">
        <f>'прил9 (ведом 25-26)'!N466</f>
        <v>2270.4</v>
      </c>
    </row>
    <row r="190" spans="1:9" ht="36" x14ac:dyDescent="0.35">
      <c r="A190" s="329"/>
      <c r="B190" s="497" t="s">
        <v>53</v>
      </c>
      <c r="C190" s="676" t="s">
        <v>50</v>
      </c>
      <c r="D190" s="677" t="s">
        <v>87</v>
      </c>
      <c r="E190" s="677" t="s">
        <v>50</v>
      </c>
      <c r="F190" s="678" t="s">
        <v>89</v>
      </c>
      <c r="G190" s="15" t="s">
        <v>54</v>
      </c>
      <c r="H190" s="217">
        <f>'прил9 (ведом 25-26)'!M467</f>
        <v>1489.1</v>
      </c>
      <c r="I190" s="217">
        <f>'прил9 (ведом 25-26)'!N467</f>
        <v>1509.6</v>
      </c>
    </row>
    <row r="191" spans="1:9" ht="18" x14ac:dyDescent="0.35">
      <c r="A191" s="329"/>
      <c r="B191" s="497" t="s">
        <v>55</v>
      </c>
      <c r="C191" s="676" t="s">
        <v>50</v>
      </c>
      <c r="D191" s="677" t="s">
        <v>87</v>
      </c>
      <c r="E191" s="677" t="s">
        <v>50</v>
      </c>
      <c r="F191" s="678" t="s">
        <v>89</v>
      </c>
      <c r="G191" s="15" t="s">
        <v>56</v>
      </c>
      <c r="H191" s="217">
        <f>'прил9 (ведом 25-26)'!M468</f>
        <v>7</v>
      </c>
      <c r="I191" s="217">
        <f>'прил9 (ведом 25-26)'!N468</f>
        <v>6.2</v>
      </c>
    </row>
    <row r="192" spans="1:9" ht="36" x14ac:dyDescent="0.35">
      <c r="A192" s="329"/>
      <c r="B192" s="497" t="s">
        <v>215</v>
      </c>
      <c r="C192" s="676" t="s">
        <v>50</v>
      </c>
      <c r="D192" s="677" t="s">
        <v>87</v>
      </c>
      <c r="E192" s="677" t="s">
        <v>50</v>
      </c>
      <c r="F192" s="678" t="s">
        <v>288</v>
      </c>
      <c r="G192" s="15"/>
      <c r="H192" s="217">
        <f>H193</f>
        <v>1001.4</v>
      </c>
      <c r="I192" s="217">
        <f>I193</f>
        <v>1001.4</v>
      </c>
    </row>
    <row r="193" spans="1:9" ht="36" x14ac:dyDescent="0.35">
      <c r="A193" s="329"/>
      <c r="B193" s="497" t="s">
        <v>53</v>
      </c>
      <c r="C193" s="676" t="s">
        <v>50</v>
      </c>
      <c r="D193" s="677" t="s">
        <v>87</v>
      </c>
      <c r="E193" s="677" t="s">
        <v>50</v>
      </c>
      <c r="F193" s="678" t="s">
        <v>288</v>
      </c>
      <c r="G193" s="15" t="s">
        <v>54</v>
      </c>
      <c r="H193" s="217">
        <f>'прил9 (ведом 25-26)'!M470</f>
        <v>1001.4</v>
      </c>
      <c r="I193" s="217">
        <f>'прил9 (ведом 25-26)'!N470</f>
        <v>1001.4</v>
      </c>
    </row>
    <row r="194" spans="1:9" ht="18" x14ac:dyDescent="0.35">
      <c r="A194" s="329"/>
      <c r="B194" s="497"/>
      <c r="C194" s="676"/>
      <c r="D194" s="677"/>
      <c r="E194" s="677"/>
      <c r="F194" s="678"/>
      <c r="G194" s="15"/>
      <c r="H194" s="217"/>
      <c r="I194" s="217"/>
    </row>
    <row r="195" spans="1:9" ht="18" x14ac:dyDescent="0.35">
      <c r="A195" s="329"/>
      <c r="B195" s="500"/>
      <c r="C195" s="669"/>
      <c r="D195" s="670"/>
      <c r="E195" s="670"/>
      <c r="F195" s="671"/>
      <c r="G195" s="238"/>
      <c r="H195" s="217"/>
      <c r="I195" s="217"/>
    </row>
    <row r="196" spans="1:9" s="339" customFormat="1" ht="52.2" x14ac:dyDescent="0.3">
      <c r="A196" s="344">
        <v>4</v>
      </c>
      <c r="B196" s="492" t="s">
        <v>217</v>
      </c>
      <c r="C196" s="336" t="s">
        <v>63</v>
      </c>
      <c r="D196" s="336" t="s">
        <v>41</v>
      </c>
      <c r="E196" s="336" t="s">
        <v>42</v>
      </c>
      <c r="F196" s="337" t="s">
        <v>43</v>
      </c>
      <c r="G196" s="338"/>
      <c r="H196" s="251">
        <f>H197+H203</f>
        <v>8467.2000000000007</v>
      </c>
      <c r="I196" s="251">
        <f>I197+I203</f>
        <v>8473.2000000000007</v>
      </c>
    </row>
    <row r="197" spans="1:9" s="339" customFormat="1" ht="18" x14ac:dyDescent="0.35">
      <c r="A197" s="329"/>
      <c r="B197" s="493" t="s">
        <v>218</v>
      </c>
      <c r="C197" s="208" t="s">
        <v>63</v>
      </c>
      <c r="D197" s="209" t="s">
        <v>44</v>
      </c>
      <c r="E197" s="209" t="s">
        <v>42</v>
      </c>
      <c r="F197" s="210" t="s">
        <v>43</v>
      </c>
      <c r="G197" s="238"/>
      <c r="H197" s="217">
        <f>H198</f>
        <v>4526.8999999999996</v>
      </c>
      <c r="I197" s="217">
        <f>I198</f>
        <v>4526.8999999999996</v>
      </c>
    </row>
    <row r="198" spans="1:9" s="339" customFormat="1" ht="72" x14ac:dyDescent="0.35">
      <c r="A198" s="329"/>
      <c r="B198" s="493" t="s">
        <v>283</v>
      </c>
      <c r="C198" s="208" t="s">
        <v>63</v>
      </c>
      <c r="D198" s="209" t="s">
        <v>44</v>
      </c>
      <c r="E198" s="209" t="s">
        <v>36</v>
      </c>
      <c r="F198" s="210" t="s">
        <v>43</v>
      </c>
      <c r="G198" s="33"/>
      <c r="H198" s="217">
        <f>H199</f>
        <v>4526.8999999999996</v>
      </c>
      <c r="I198" s="217">
        <f>I199</f>
        <v>4526.8999999999996</v>
      </c>
    </row>
    <row r="199" spans="1:9" ht="36" x14ac:dyDescent="0.35">
      <c r="A199" s="329"/>
      <c r="B199" s="493" t="s">
        <v>454</v>
      </c>
      <c r="C199" s="208" t="s">
        <v>63</v>
      </c>
      <c r="D199" s="209" t="s">
        <v>44</v>
      </c>
      <c r="E199" s="209" t="s">
        <v>36</v>
      </c>
      <c r="F199" s="210" t="s">
        <v>89</v>
      </c>
      <c r="G199" s="33"/>
      <c r="H199" s="217">
        <f>SUM(H200:H202)</f>
        <v>4526.8999999999996</v>
      </c>
      <c r="I199" s="217">
        <f>SUM(I200:I202)</f>
        <v>4526.8999999999996</v>
      </c>
    </row>
    <row r="200" spans="1:9" ht="90" x14ac:dyDescent="0.35">
      <c r="A200" s="329"/>
      <c r="B200" s="493" t="s">
        <v>48</v>
      </c>
      <c r="C200" s="208" t="s">
        <v>63</v>
      </c>
      <c r="D200" s="209" t="s">
        <v>44</v>
      </c>
      <c r="E200" s="209" t="s">
        <v>36</v>
      </c>
      <c r="F200" s="210" t="s">
        <v>89</v>
      </c>
      <c r="G200" s="33" t="s">
        <v>49</v>
      </c>
      <c r="H200" s="217">
        <f>'прил9 (ведом 25-26)'!M524</f>
        <v>4152.7</v>
      </c>
      <c r="I200" s="217">
        <f>'прил9 (ведом 25-26)'!N524</f>
        <v>4152.7</v>
      </c>
    </row>
    <row r="201" spans="1:9" ht="36" x14ac:dyDescent="0.35">
      <c r="A201" s="329"/>
      <c r="B201" s="494" t="s">
        <v>53</v>
      </c>
      <c r="C201" s="208" t="s">
        <v>63</v>
      </c>
      <c r="D201" s="209" t="s">
        <v>44</v>
      </c>
      <c r="E201" s="209" t="s">
        <v>36</v>
      </c>
      <c r="F201" s="210" t="s">
        <v>89</v>
      </c>
      <c r="G201" s="33" t="s">
        <v>54</v>
      </c>
      <c r="H201" s="217">
        <f>'прил9 (ведом 25-26)'!M525</f>
        <v>371.5</v>
      </c>
      <c r="I201" s="217">
        <f>'прил9 (ведом 25-26)'!N525</f>
        <v>371.5</v>
      </c>
    </row>
    <row r="202" spans="1:9" ht="18" x14ac:dyDescent="0.35">
      <c r="A202" s="329"/>
      <c r="B202" s="494" t="s">
        <v>55</v>
      </c>
      <c r="C202" s="208" t="s">
        <v>63</v>
      </c>
      <c r="D202" s="209" t="s">
        <v>44</v>
      </c>
      <c r="E202" s="209" t="s">
        <v>36</v>
      </c>
      <c r="F202" s="210" t="s">
        <v>89</v>
      </c>
      <c r="G202" s="33" t="s">
        <v>56</v>
      </c>
      <c r="H202" s="217">
        <f>'прил9 (ведом 25-26)'!M526</f>
        <v>2.7</v>
      </c>
      <c r="I202" s="217">
        <f>'прил9 (ведом 25-26)'!N526</f>
        <v>2.7</v>
      </c>
    </row>
    <row r="203" spans="1:9" s="339" customFormat="1" ht="18" x14ac:dyDescent="0.35">
      <c r="A203" s="329"/>
      <c r="B203" s="493" t="s">
        <v>216</v>
      </c>
      <c r="C203" s="208" t="s">
        <v>63</v>
      </c>
      <c r="D203" s="209" t="s">
        <v>87</v>
      </c>
      <c r="E203" s="209" t="s">
        <v>42</v>
      </c>
      <c r="F203" s="210" t="s">
        <v>43</v>
      </c>
      <c r="G203" s="33"/>
      <c r="H203" s="217">
        <f>H204+H209+H212+H215</f>
        <v>3940.3</v>
      </c>
      <c r="I203" s="217">
        <f>I204+I209+I212+I215</f>
        <v>3946.3</v>
      </c>
    </row>
    <row r="204" spans="1:9" s="339" customFormat="1" ht="36" x14ac:dyDescent="0.35">
      <c r="A204" s="329"/>
      <c r="B204" s="493" t="s">
        <v>278</v>
      </c>
      <c r="C204" s="208" t="s">
        <v>63</v>
      </c>
      <c r="D204" s="209" t="s">
        <v>87</v>
      </c>
      <c r="E204" s="209" t="s">
        <v>36</v>
      </c>
      <c r="F204" s="210" t="s">
        <v>43</v>
      </c>
      <c r="G204" s="33"/>
      <c r="H204" s="217">
        <f>H205</f>
        <v>3791.1</v>
      </c>
      <c r="I204" s="217">
        <f>I205</f>
        <v>3797.1</v>
      </c>
    </row>
    <row r="205" spans="1:9" s="339" customFormat="1" ht="36" x14ac:dyDescent="0.35">
      <c r="A205" s="329"/>
      <c r="B205" s="493" t="s">
        <v>46</v>
      </c>
      <c r="C205" s="208" t="s">
        <v>63</v>
      </c>
      <c r="D205" s="209" t="s">
        <v>87</v>
      </c>
      <c r="E205" s="209" t="s">
        <v>36</v>
      </c>
      <c r="F205" s="210" t="s">
        <v>47</v>
      </c>
      <c r="G205" s="33"/>
      <c r="H205" s="217">
        <f>SUM(H206:H208)</f>
        <v>3791.1</v>
      </c>
      <c r="I205" s="217">
        <f>SUM(I206:I208)</f>
        <v>3797.1</v>
      </c>
    </row>
    <row r="206" spans="1:9" s="339" customFormat="1" ht="90" x14ac:dyDescent="0.35">
      <c r="A206" s="329"/>
      <c r="B206" s="493" t="s">
        <v>48</v>
      </c>
      <c r="C206" s="208" t="s">
        <v>63</v>
      </c>
      <c r="D206" s="209" t="s">
        <v>87</v>
      </c>
      <c r="E206" s="209" t="s">
        <v>36</v>
      </c>
      <c r="F206" s="210" t="s">
        <v>47</v>
      </c>
      <c r="G206" s="33" t="s">
        <v>49</v>
      </c>
      <c r="H206" s="217">
        <f>'прил9 (ведом 25-26)'!M532</f>
        <v>3414.6</v>
      </c>
      <c r="I206" s="217">
        <f>'прил9 (ведом 25-26)'!N532</f>
        <v>3414.6</v>
      </c>
    </row>
    <row r="207" spans="1:9" ht="36" x14ac:dyDescent="0.35">
      <c r="A207" s="329"/>
      <c r="B207" s="493" t="s">
        <v>53</v>
      </c>
      <c r="C207" s="208" t="s">
        <v>63</v>
      </c>
      <c r="D207" s="209" t="s">
        <v>87</v>
      </c>
      <c r="E207" s="209" t="s">
        <v>36</v>
      </c>
      <c r="F207" s="210" t="s">
        <v>47</v>
      </c>
      <c r="G207" s="33" t="s">
        <v>54</v>
      </c>
      <c r="H207" s="217">
        <f>'прил9 (ведом 25-26)'!M533</f>
        <v>375.3</v>
      </c>
      <c r="I207" s="217">
        <f>'прил9 (ведом 25-26)'!N533</f>
        <v>381.3</v>
      </c>
    </row>
    <row r="208" spans="1:9" ht="18" x14ac:dyDescent="0.35">
      <c r="A208" s="329"/>
      <c r="B208" s="493" t="s">
        <v>55</v>
      </c>
      <c r="C208" s="208" t="s">
        <v>63</v>
      </c>
      <c r="D208" s="209" t="s">
        <v>87</v>
      </c>
      <c r="E208" s="209" t="s">
        <v>36</v>
      </c>
      <c r="F208" s="210" t="s">
        <v>47</v>
      </c>
      <c r="G208" s="33" t="s">
        <v>56</v>
      </c>
      <c r="H208" s="217">
        <f>'прил9 (ведом 25-26)'!M534</f>
        <v>1.2</v>
      </c>
      <c r="I208" s="217">
        <f>'прил9 (ведом 25-26)'!N534</f>
        <v>1.2</v>
      </c>
    </row>
    <row r="209" spans="1:9" ht="36" x14ac:dyDescent="0.35">
      <c r="A209" s="329"/>
      <c r="B209" s="506" t="s">
        <v>347</v>
      </c>
      <c r="C209" s="209" t="s">
        <v>63</v>
      </c>
      <c r="D209" s="209" t="s">
        <v>87</v>
      </c>
      <c r="E209" s="209" t="s">
        <v>38</v>
      </c>
      <c r="F209" s="210" t="s">
        <v>43</v>
      </c>
      <c r="G209" s="33"/>
      <c r="H209" s="217">
        <f>H210</f>
        <v>87.3</v>
      </c>
      <c r="I209" s="217">
        <f>I210</f>
        <v>87.3</v>
      </c>
    </row>
    <row r="210" spans="1:9" ht="54" x14ac:dyDescent="0.35">
      <c r="A210" s="329"/>
      <c r="B210" s="506" t="s">
        <v>348</v>
      </c>
      <c r="C210" s="208" t="s">
        <v>63</v>
      </c>
      <c r="D210" s="209" t="s">
        <v>87</v>
      </c>
      <c r="E210" s="209" t="s">
        <v>38</v>
      </c>
      <c r="F210" s="210" t="s">
        <v>103</v>
      </c>
      <c r="G210" s="33"/>
      <c r="H210" s="217">
        <f>H211</f>
        <v>87.3</v>
      </c>
      <c r="I210" s="217">
        <f>I211</f>
        <v>87.3</v>
      </c>
    </row>
    <row r="211" spans="1:9" ht="36" x14ac:dyDescent="0.35">
      <c r="A211" s="329"/>
      <c r="B211" s="506" t="s">
        <v>53</v>
      </c>
      <c r="C211" s="208" t="s">
        <v>63</v>
      </c>
      <c r="D211" s="209" t="s">
        <v>87</v>
      </c>
      <c r="E211" s="209" t="s">
        <v>38</v>
      </c>
      <c r="F211" s="210" t="s">
        <v>103</v>
      </c>
      <c r="G211" s="33" t="s">
        <v>54</v>
      </c>
      <c r="H211" s="217">
        <f>'прил9 (ведом 25-26)'!M511</f>
        <v>87.3</v>
      </c>
      <c r="I211" s="217">
        <f>'прил9 (ведом 25-26)'!N511</f>
        <v>87.3</v>
      </c>
    </row>
    <row r="212" spans="1:9" ht="36" x14ac:dyDescent="0.35">
      <c r="A212" s="329"/>
      <c r="B212" s="494" t="s">
        <v>458</v>
      </c>
      <c r="C212" s="209" t="s">
        <v>63</v>
      </c>
      <c r="D212" s="209" t="s">
        <v>87</v>
      </c>
      <c r="E212" s="209" t="s">
        <v>61</v>
      </c>
      <c r="F212" s="210" t="s">
        <v>43</v>
      </c>
      <c r="G212" s="33"/>
      <c r="H212" s="217">
        <f>H213</f>
        <v>15.4</v>
      </c>
      <c r="I212" s="217">
        <f>I213</f>
        <v>15.4</v>
      </c>
    </row>
    <row r="213" spans="1:9" ht="18" x14ac:dyDescent="0.35">
      <c r="A213" s="329"/>
      <c r="B213" s="494" t="s">
        <v>456</v>
      </c>
      <c r="C213" s="209" t="s">
        <v>63</v>
      </c>
      <c r="D213" s="209" t="s">
        <v>87</v>
      </c>
      <c r="E213" s="209" t="s">
        <v>61</v>
      </c>
      <c r="F213" s="210" t="s">
        <v>457</v>
      </c>
      <c r="G213" s="33"/>
      <c r="H213" s="217">
        <f>H214</f>
        <v>15.4</v>
      </c>
      <c r="I213" s="217">
        <f>I214</f>
        <v>15.4</v>
      </c>
    </row>
    <row r="214" spans="1:9" ht="36" x14ac:dyDescent="0.35">
      <c r="A214" s="329"/>
      <c r="B214" s="506" t="s">
        <v>53</v>
      </c>
      <c r="C214" s="209" t="s">
        <v>63</v>
      </c>
      <c r="D214" s="209" t="s">
        <v>87</v>
      </c>
      <c r="E214" s="209" t="s">
        <v>61</v>
      </c>
      <c r="F214" s="210" t="s">
        <v>457</v>
      </c>
      <c r="G214" s="33" t="s">
        <v>54</v>
      </c>
      <c r="H214" s="217">
        <f>'прил9 (ведом 25-26)'!M514</f>
        <v>15.4</v>
      </c>
      <c r="I214" s="217">
        <f>'прил9 (ведом 25-26)'!N514</f>
        <v>15.4</v>
      </c>
    </row>
    <row r="215" spans="1:9" ht="36" x14ac:dyDescent="0.35">
      <c r="A215" s="329"/>
      <c r="B215" s="506" t="s">
        <v>461</v>
      </c>
      <c r="C215" s="209" t="s">
        <v>63</v>
      </c>
      <c r="D215" s="209" t="s">
        <v>87</v>
      </c>
      <c r="E215" s="209" t="s">
        <v>50</v>
      </c>
      <c r="F215" s="671" t="s">
        <v>43</v>
      </c>
      <c r="G215" s="238"/>
      <c r="H215" s="217">
        <f>H216</f>
        <v>46.5</v>
      </c>
      <c r="I215" s="217">
        <f>I216</f>
        <v>46.5</v>
      </c>
    </row>
    <row r="216" spans="1:9" ht="36" x14ac:dyDescent="0.35">
      <c r="A216" s="329"/>
      <c r="B216" s="507" t="s">
        <v>125</v>
      </c>
      <c r="C216" s="209" t="s">
        <v>63</v>
      </c>
      <c r="D216" s="209" t="s">
        <v>87</v>
      </c>
      <c r="E216" s="209" t="s">
        <v>50</v>
      </c>
      <c r="F216" s="353" t="s">
        <v>88</v>
      </c>
      <c r="G216" s="238"/>
      <c r="H216" s="217">
        <f>H217</f>
        <v>46.5</v>
      </c>
      <c r="I216" s="217">
        <f>I217</f>
        <v>46.5</v>
      </c>
    </row>
    <row r="217" spans="1:9" ht="36" x14ac:dyDescent="0.35">
      <c r="A217" s="329"/>
      <c r="B217" s="506" t="s">
        <v>53</v>
      </c>
      <c r="C217" s="209" t="s">
        <v>63</v>
      </c>
      <c r="D217" s="209" t="s">
        <v>87</v>
      </c>
      <c r="E217" s="209" t="s">
        <v>50</v>
      </c>
      <c r="F217" s="671" t="s">
        <v>88</v>
      </c>
      <c r="G217" s="238" t="s">
        <v>54</v>
      </c>
      <c r="H217" s="217">
        <f>'прил9 (ведом 25-26)'!M517</f>
        <v>46.5</v>
      </c>
      <c r="I217" s="217">
        <f>'прил9 (ведом 25-26)'!N517</f>
        <v>46.5</v>
      </c>
    </row>
    <row r="218" spans="1:9" ht="18" x14ac:dyDescent="0.35">
      <c r="A218" s="329"/>
      <c r="B218" s="493"/>
      <c r="C218" s="209"/>
      <c r="D218" s="209"/>
      <c r="E218" s="209"/>
      <c r="F218" s="210"/>
      <c r="G218" s="33"/>
      <c r="H218" s="217"/>
      <c r="I218" s="217"/>
    </row>
    <row r="219" spans="1:9" s="339" customFormat="1" ht="52.2" x14ac:dyDescent="0.3">
      <c r="A219" s="344">
        <v>5</v>
      </c>
      <c r="B219" s="492" t="s">
        <v>78</v>
      </c>
      <c r="C219" s="345" t="s">
        <v>79</v>
      </c>
      <c r="D219" s="345" t="s">
        <v>41</v>
      </c>
      <c r="E219" s="345" t="s">
        <v>42</v>
      </c>
      <c r="F219" s="346" t="s">
        <v>43</v>
      </c>
      <c r="G219" s="338"/>
      <c r="H219" s="251">
        <f>H233+H220+H226+H239</f>
        <v>14790.1</v>
      </c>
      <c r="I219" s="251">
        <f>I233+I220+I226+I239</f>
        <v>14790.6</v>
      </c>
    </row>
    <row r="220" spans="1:9" ht="54" x14ac:dyDescent="0.35">
      <c r="A220" s="329"/>
      <c r="B220" s="501" t="s">
        <v>80</v>
      </c>
      <c r="C220" s="208" t="s">
        <v>79</v>
      </c>
      <c r="D220" s="209" t="s">
        <v>44</v>
      </c>
      <c r="E220" s="209" t="s">
        <v>42</v>
      </c>
      <c r="F220" s="210" t="s">
        <v>43</v>
      </c>
      <c r="G220" s="238"/>
      <c r="H220" s="217">
        <f>H221</f>
        <v>362.29999999999995</v>
      </c>
      <c r="I220" s="217">
        <f>I221</f>
        <v>362.29999999999995</v>
      </c>
    </row>
    <row r="221" spans="1:9" ht="72" x14ac:dyDescent="0.35">
      <c r="A221" s="329"/>
      <c r="B221" s="493" t="s">
        <v>81</v>
      </c>
      <c r="C221" s="208" t="s">
        <v>79</v>
      </c>
      <c r="D221" s="209" t="s">
        <v>44</v>
      </c>
      <c r="E221" s="209" t="s">
        <v>36</v>
      </c>
      <c r="F221" s="210" t="s">
        <v>43</v>
      </c>
      <c r="G221" s="33"/>
      <c r="H221" s="217">
        <f>H222+H224</f>
        <v>362.29999999999995</v>
      </c>
      <c r="I221" s="217">
        <f>I222+I224</f>
        <v>362.29999999999995</v>
      </c>
    </row>
    <row r="222" spans="1:9" ht="36" x14ac:dyDescent="0.35">
      <c r="A222" s="329"/>
      <c r="B222" s="532" t="s">
        <v>441</v>
      </c>
      <c r="C222" s="208" t="s">
        <v>79</v>
      </c>
      <c r="D222" s="209" t="s">
        <v>44</v>
      </c>
      <c r="E222" s="209" t="s">
        <v>36</v>
      </c>
      <c r="F222" s="210" t="s">
        <v>82</v>
      </c>
      <c r="G222" s="33"/>
      <c r="H222" s="217">
        <f>H223</f>
        <v>298.39999999999998</v>
      </c>
      <c r="I222" s="217">
        <f>I223</f>
        <v>298.39999999999998</v>
      </c>
    </row>
    <row r="223" spans="1:9" ht="36" x14ac:dyDescent="0.35">
      <c r="A223" s="329"/>
      <c r="B223" s="494" t="s">
        <v>53</v>
      </c>
      <c r="C223" s="208" t="s">
        <v>79</v>
      </c>
      <c r="D223" s="209" t="s">
        <v>44</v>
      </c>
      <c r="E223" s="209" t="s">
        <v>36</v>
      </c>
      <c r="F223" s="210" t="s">
        <v>82</v>
      </c>
      <c r="G223" s="33" t="s">
        <v>54</v>
      </c>
      <c r="H223" s="217">
        <f>'прил9 (ведом 25-26)'!M90</f>
        <v>298.39999999999998</v>
      </c>
      <c r="I223" s="217">
        <f>'прил9 (ведом 25-26)'!N90</f>
        <v>298.39999999999998</v>
      </c>
    </row>
    <row r="224" spans="1:9" ht="36" x14ac:dyDescent="0.35">
      <c r="A224" s="329"/>
      <c r="B224" s="494" t="s">
        <v>83</v>
      </c>
      <c r="C224" s="208" t="s">
        <v>79</v>
      </c>
      <c r="D224" s="209" t="s">
        <v>44</v>
      </c>
      <c r="E224" s="209" t="s">
        <v>36</v>
      </c>
      <c r="F224" s="210" t="s">
        <v>84</v>
      </c>
      <c r="G224" s="33"/>
      <c r="H224" s="217">
        <f>H225</f>
        <v>63.9</v>
      </c>
      <c r="I224" s="217">
        <f>I225</f>
        <v>63.9</v>
      </c>
    </row>
    <row r="225" spans="1:9" ht="36" x14ac:dyDescent="0.35">
      <c r="A225" s="329"/>
      <c r="B225" s="494" t="s">
        <v>53</v>
      </c>
      <c r="C225" s="208" t="s">
        <v>79</v>
      </c>
      <c r="D225" s="209" t="s">
        <v>44</v>
      </c>
      <c r="E225" s="209" t="s">
        <v>36</v>
      </c>
      <c r="F225" s="210" t="s">
        <v>84</v>
      </c>
      <c r="G225" s="33" t="s">
        <v>54</v>
      </c>
      <c r="H225" s="217">
        <f>'прил9 (ведом 25-26)'!M92</f>
        <v>63.9</v>
      </c>
      <c r="I225" s="217">
        <f>'прил9 (ведом 25-26)'!N92</f>
        <v>63.9</v>
      </c>
    </row>
    <row r="226" spans="1:9" ht="36" x14ac:dyDescent="0.35">
      <c r="A226" s="329"/>
      <c r="B226" s="508" t="s">
        <v>123</v>
      </c>
      <c r="C226" s="208" t="s">
        <v>79</v>
      </c>
      <c r="D226" s="209" t="s">
        <v>87</v>
      </c>
      <c r="E226" s="209" t="s">
        <v>42</v>
      </c>
      <c r="F226" s="210" t="s">
        <v>43</v>
      </c>
      <c r="G226" s="238"/>
      <c r="H226" s="217">
        <f>H227+H230</f>
        <v>1747.4</v>
      </c>
      <c r="I226" s="217">
        <f>I227+I230</f>
        <v>1747.4</v>
      </c>
    </row>
    <row r="227" spans="1:9" ht="36" x14ac:dyDescent="0.35">
      <c r="A227" s="329"/>
      <c r="B227" s="494" t="s">
        <v>267</v>
      </c>
      <c r="C227" s="208" t="s">
        <v>79</v>
      </c>
      <c r="D227" s="209" t="s">
        <v>87</v>
      </c>
      <c r="E227" s="209" t="s">
        <v>36</v>
      </c>
      <c r="F227" s="210" t="s">
        <v>43</v>
      </c>
      <c r="G227" s="33"/>
      <c r="H227" s="217">
        <f>H228</f>
        <v>28.7</v>
      </c>
      <c r="I227" s="217">
        <f>I228</f>
        <v>28.7</v>
      </c>
    </row>
    <row r="228" spans="1:9" ht="36" x14ac:dyDescent="0.35">
      <c r="A228" s="329"/>
      <c r="B228" s="531" t="s">
        <v>125</v>
      </c>
      <c r="C228" s="208" t="s">
        <v>79</v>
      </c>
      <c r="D228" s="209" t="s">
        <v>87</v>
      </c>
      <c r="E228" s="209" t="s">
        <v>36</v>
      </c>
      <c r="F228" s="210" t="s">
        <v>88</v>
      </c>
      <c r="G228" s="33"/>
      <c r="H228" s="217">
        <f>H229</f>
        <v>28.7</v>
      </c>
      <c r="I228" s="217">
        <f>I229</f>
        <v>28.7</v>
      </c>
    </row>
    <row r="229" spans="1:9" ht="36" x14ac:dyDescent="0.35">
      <c r="A229" s="329"/>
      <c r="B229" s="494" t="s">
        <v>53</v>
      </c>
      <c r="C229" s="208" t="s">
        <v>79</v>
      </c>
      <c r="D229" s="209" t="s">
        <v>87</v>
      </c>
      <c r="E229" s="209" t="s">
        <v>36</v>
      </c>
      <c r="F229" s="210" t="s">
        <v>88</v>
      </c>
      <c r="G229" s="33" t="s">
        <v>54</v>
      </c>
      <c r="H229" s="217">
        <f>'прил9 (ведом 25-26)'!M98</f>
        <v>28.7</v>
      </c>
      <c r="I229" s="217">
        <f>'прил9 (ведом 25-26)'!N98</f>
        <v>28.7</v>
      </c>
    </row>
    <row r="230" spans="1:9" ht="54" x14ac:dyDescent="0.35">
      <c r="A230" s="329"/>
      <c r="B230" s="531" t="s">
        <v>124</v>
      </c>
      <c r="C230" s="208" t="s">
        <v>79</v>
      </c>
      <c r="D230" s="209" t="s">
        <v>87</v>
      </c>
      <c r="E230" s="209" t="s">
        <v>38</v>
      </c>
      <c r="F230" s="210" t="s">
        <v>43</v>
      </c>
      <c r="G230" s="33"/>
      <c r="H230" s="217">
        <f>H231</f>
        <v>1718.7</v>
      </c>
      <c r="I230" s="217">
        <f>I231</f>
        <v>1718.7</v>
      </c>
    </row>
    <row r="231" spans="1:9" ht="36" x14ac:dyDescent="0.35">
      <c r="A231" s="329"/>
      <c r="B231" s="531" t="s">
        <v>125</v>
      </c>
      <c r="C231" s="208" t="s">
        <v>79</v>
      </c>
      <c r="D231" s="209" t="s">
        <v>87</v>
      </c>
      <c r="E231" s="209" t="s">
        <v>38</v>
      </c>
      <c r="F231" s="210" t="s">
        <v>88</v>
      </c>
      <c r="G231" s="33"/>
      <c r="H231" s="217">
        <f>H232</f>
        <v>1718.7</v>
      </c>
      <c r="I231" s="217">
        <f>I232</f>
        <v>1718.7</v>
      </c>
    </row>
    <row r="232" spans="1:9" ht="36" x14ac:dyDescent="0.35">
      <c r="A232" s="329"/>
      <c r="B232" s="494" t="s">
        <v>53</v>
      </c>
      <c r="C232" s="208" t="s">
        <v>79</v>
      </c>
      <c r="D232" s="209" t="s">
        <v>87</v>
      </c>
      <c r="E232" s="209" t="s">
        <v>38</v>
      </c>
      <c r="F232" s="210" t="s">
        <v>88</v>
      </c>
      <c r="G232" s="33" t="s">
        <v>54</v>
      </c>
      <c r="H232" s="217">
        <f>'прил9 (ведом 25-26)'!M101</f>
        <v>1718.7</v>
      </c>
      <c r="I232" s="217">
        <f>'прил9 (ведом 25-26)'!N101</f>
        <v>1718.7</v>
      </c>
    </row>
    <row r="233" spans="1:9" ht="54" x14ac:dyDescent="0.35">
      <c r="A233" s="329"/>
      <c r="B233" s="510" t="s">
        <v>364</v>
      </c>
      <c r="C233" s="208" t="s">
        <v>79</v>
      </c>
      <c r="D233" s="209" t="s">
        <v>29</v>
      </c>
      <c r="E233" s="209" t="s">
        <v>42</v>
      </c>
      <c r="F233" s="210" t="s">
        <v>43</v>
      </c>
      <c r="G233" s="33"/>
      <c r="H233" s="217">
        <f>H234</f>
        <v>12651.7</v>
      </c>
      <c r="I233" s="217">
        <f>I234</f>
        <v>12652.2</v>
      </c>
    </row>
    <row r="234" spans="1:9" ht="54" x14ac:dyDescent="0.35">
      <c r="A234" s="329"/>
      <c r="B234" s="509" t="s">
        <v>319</v>
      </c>
      <c r="C234" s="208" t="s">
        <v>79</v>
      </c>
      <c r="D234" s="209" t="s">
        <v>29</v>
      </c>
      <c r="E234" s="209" t="s">
        <v>36</v>
      </c>
      <c r="F234" s="210" t="s">
        <v>43</v>
      </c>
      <c r="G234" s="33"/>
      <c r="H234" s="217">
        <f>H235</f>
        <v>12651.7</v>
      </c>
      <c r="I234" s="217">
        <f>I235</f>
        <v>12652.2</v>
      </c>
    </row>
    <row r="235" spans="1:9" ht="36" x14ac:dyDescent="0.35">
      <c r="A235" s="329"/>
      <c r="B235" s="493" t="s">
        <v>454</v>
      </c>
      <c r="C235" s="208" t="s">
        <v>79</v>
      </c>
      <c r="D235" s="209" t="s">
        <v>29</v>
      </c>
      <c r="E235" s="209" t="s">
        <v>36</v>
      </c>
      <c r="F235" s="210" t="s">
        <v>89</v>
      </c>
      <c r="G235" s="33"/>
      <c r="H235" s="217">
        <f>SUM(H236:H238)</f>
        <v>12651.7</v>
      </c>
      <c r="I235" s="217">
        <f>SUM(I236:I238)</f>
        <v>12652.2</v>
      </c>
    </row>
    <row r="236" spans="1:9" s="339" customFormat="1" ht="90" x14ac:dyDescent="0.35">
      <c r="A236" s="329"/>
      <c r="B236" s="493" t="s">
        <v>48</v>
      </c>
      <c r="C236" s="208" t="s">
        <v>79</v>
      </c>
      <c r="D236" s="209" t="s">
        <v>29</v>
      </c>
      <c r="E236" s="209" t="s">
        <v>36</v>
      </c>
      <c r="F236" s="210" t="s">
        <v>89</v>
      </c>
      <c r="G236" s="33" t="s">
        <v>49</v>
      </c>
      <c r="H236" s="217">
        <f>'прил9 (ведом 25-26)'!M105</f>
        <v>9327.7000000000007</v>
      </c>
      <c r="I236" s="217">
        <f>'прил9 (ведом 25-26)'!N105</f>
        <v>9327.7000000000007</v>
      </c>
    </row>
    <row r="237" spans="1:9" ht="36" x14ac:dyDescent="0.35">
      <c r="A237" s="329"/>
      <c r="B237" s="493" t="s">
        <v>53</v>
      </c>
      <c r="C237" s="208" t="s">
        <v>79</v>
      </c>
      <c r="D237" s="209" t="s">
        <v>29</v>
      </c>
      <c r="E237" s="209" t="s">
        <v>36</v>
      </c>
      <c r="F237" s="210" t="s">
        <v>89</v>
      </c>
      <c r="G237" s="33" t="s">
        <v>54</v>
      </c>
      <c r="H237" s="217">
        <f>'прил9 (ведом 25-26)'!M106</f>
        <v>3320.7</v>
      </c>
      <c r="I237" s="217">
        <f>'прил9 (ведом 25-26)'!N106</f>
        <v>3321.2</v>
      </c>
    </row>
    <row r="238" spans="1:9" ht="18" x14ac:dyDescent="0.35">
      <c r="A238" s="329"/>
      <c r="B238" s="494" t="s">
        <v>55</v>
      </c>
      <c r="C238" s="208" t="s">
        <v>79</v>
      </c>
      <c r="D238" s="209" t="s">
        <v>29</v>
      </c>
      <c r="E238" s="209" t="s">
        <v>36</v>
      </c>
      <c r="F238" s="210" t="s">
        <v>89</v>
      </c>
      <c r="G238" s="33" t="s">
        <v>56</v>
      </c>
      <c r="H238" s="217">
        <f>'прил9 (ведом 25-26)'!M107</f>
        <v>3.3</v>
      </c>
      <c r="I238" s="217">
        <f>'прил9 (ведом 25-26)'!N107</f>
        <v>3.3</v>
      </c>
    </row>
    <row r="239" spans="1:9" ht="54" x14ac:dyDescent="0.35">
      <c r="A239" s="329"/>
      <c r="B239" s="533" t="s">
        <v>467</v>
      </c>
      <c r="C239" s="208" t="s">
        <v>79</v>
      </c>
      <c r="D239" s="209" t="s">
        <v>30</v>
      </c>
      <c r="E239" s="209" t="s">
        <v>42</v>
      </c>
      <c r="F239" s="210" t="s">
        <v>43</v>
      </c>
      <c r="G239" s="33"/>
      <c r="H239" s="217">
        <f t="shared" ref="H239:I241" si="0">H240</f>
        <v>28.7</v>
      </c>
      <c r="I239" s="217">
        <f t="shared" si="0"/>
        <v>28.7</v>
      </c>
    </row>
    <row r="240" spans="1:9" ht="54" x14ac:dyDescent="0.35">
      <c r="A240" s="329"/>
      <c r="B240" s="534" t="s">
        <v>468</v>
      </c>
      <c r="C240" s="208" t="s">
        <v>79</v>
      </c>
      <c r="D240" s="209" t="s">
        <v>30</v>
      </c>
      <c r="E240" s="209" t="s">
        <v>36</v>
      </c>
      <c r="F240" s="210" t="s">
        <v>43</v>
      </c>
      <c r="G240" s="33"/>
      <c r="H240" s="217">
        <f t="shared" si="0"/>
        <v>28.7</v>
      </c>
      <c r="I240" s="217">
        <f t="shared" si="0"/>
        <v>28.7</v>
      </c>
    </row>
    <row r="241" spans="1:9" ht="36" x14ac:dyDescent="0.35">
      <c r="A241" s="329"/>
      <c r="B241" s="535" t="s">
        <v>83</v>
      </c>
      <c r="C241" s="208" t="s">
        <v>79</v>
      </c>
      <c r="D241" s="209" t="s">
        <v>30</v>
      </c>
      <c r="E241" s="209" t="s">
        <v>36</v>
      </c>
      <c r="F241" s="210" t="s">
        <v>84</v>
      </c>
      <c r="G241" s="33"/>
      <c r="H241" s="217">
        <f t="shared" si="0"/>
        <v>28.7</v>
      </c>
      <c r="I241" s="217">
        <f t="shared" si="0"/>
        <v>28.7</v>
      </c>
    </row>
    <row r="242" spans="1:9" ht="36" x14ac:dyDescent="0.35">
      <c r="A242" s="329"/>
      <c r="B242" s="536" t="s">
        <v>53</v>
      </c>
      <c r="C242" s="208" t="s">
        <v>79</v>
      </c>
      <c r="D242" s="209" t="s">
        <v>30</v>
      </c>
      <c r="E242" s="209" t="s">
        <v>36</v>
      </c>
      <c r="F242" s="210" t="s">
        <v>84</v>
      </c>
      <c r="G242" s="33" t="s">
        <v>54</v>
      </c>
      <c r="H242" s="217">
        <f>'прил9 (ведом 25-26)'!M111</f>
        <v>28.7</v>
      </c>
      <c r="I242" s="217">
        <f>'прил9 (ведом 25-26)'!N111</f>
        <v>28.7</v>
      </c>
    </row>
    <row r="243" spans="1:9" ht="18" x14ac:dyDescent="0.35">
      <c r="A243" s="354"/>
      <c r="B243" s="496"/>
      <c r="C243" s="355"/>
      <c r="D243" s="670"/>
      <c r="E243" s="670"/>
      <c r="F243" s="671"/>
      <c r="G243" s="238"/>
      <c r="H243" s="217"/>
      <c r="I243" s="217"/>
    </row>
    <row r="244" spans="1:9" s="339" customFormat="1" ht="52.2" x14ac:dyDescent="0.3">
      <c r="A244" s="344">
        <v>6</v>
      </c>
      <c r="B244" s="505" t="s">
        <v>219</v>
      </c>
      <c r="C244" s="336" t="s">
        <v>220</v>
      </c>
      <c r="D244" s="336" t="s">
        <v>41</v>
      </c>
      <c r="E244" s="336" t="s">
        <v>42</v>
      </c>
      <c r="F244" s="337" t="s">
        <v>43</v>
      </c>
      <c r="G244" s="338"/>
      <c r="H244" s="251">
        <f>H245</f>
        <v>45787.5</v>
      </c>
      <c r="I244" s="251">
        <f>I245</f>
        <v>45788.3</v>
      </c>
    </row>
    <row r="245" spans="1:9" ht="18" x14ac:dyDescent="0.35">
      <c r="A245" s="329"/>
      <c r="B245" s="493" t="s">
        <v>335</v>
      </c>
      <c r="C245" s="356" t="s">
        <v>220</v>
      </c>
      <c r="D245" s="357" t="s">
        <v>44</v>
      </c>
      <c r="E245" s="209" t="s">
        <v>42</v>
      </c>
      <c r="F245" s="210" t="s">
        <v>43</v>
      </c>
      <c r="G245" s="33"/>
      <c r="H245" s="217">
        <f>H246+H253+H256+H259</f>
        <v>45787.5</v>
      </c>
      <c r="I245" s="217">
        <f>I246+I253+I256+I259</f>
        <v>45788.3</v>
      </c>
    </row>
    <row r="246" spans="1:9" ht="36" x14ac:dyDescent="0.35">
      <c r="A246" s="329"/>
      <c r="B246" s="493" t="s">
        <v>299</v>
      </c>
      <c r="C246" s="356" t="s">
        <v>220</v>
      </c>
      <c r="D246" s="357" t="s">
        <v>44</v>
      </c>
      <c r="E246" s="209" t="s">
        <v>36</v>
      </c>
      <c r="F246" s="210" t="s">
        <v>43</v>
      </c>
      <c r="G246" s="33"/>
      <c r="H246" s="217">
        <f>H247+H251</f>
        <v>33679.1</v>
      </c>
      <c r="I246" s="217">
        <f>I247+I251</f>
        <v>33679.9</v>
      </c>
    </row>
    <row r="247" spans="1:9" ht="36" x14ac:dyDescent="0.35">
      <c r="A247" s="329"/>
      <c r="B247" s="493" t="s">
        <v>46</v>
      </c>
      <c r="C247" s="356" t="s">
        <v>220</v>
      </c>
      <c r="D247" s="357" t="s">
        <v>44</v>
      </c>
      <c r="E247" s="209" t="s">
        <v>36</v>
      </c>
      <c r="F247" s="210" t="s">
        <v>47</v>
      </c>
      <c r="G247" s="33"/>
      <c r="H247" s="217">
        <f>SUM(H248:H250)</f>
        <v>33563.5</v>
      </c>
      <c r="I247" s="217">
        <f>SUM(I248:I250)</f>
        <v>33564.300000000003</v>
      </c>
    </row>
    <row r="248" spans="1:9" ht="90" x14ac:dyDescent="0.35">
      <c r="A248" s="329"/>
      <c r="B248" s="493" t="s">
        <v>48</v>
      </c>
      <c r="C248" s="356" t="s">
        <v>220</v>
      </c>
      <c r="D248" s="357" t="s">
        <v>44</v>
      </c>
      <c r="E248" s="209" t="s">
        <v>36</v>
      </c>
      <c r="F248" s="210" t="s">
        <v>47</v>
      </c>
      <c r="G248" s="33" t="s">
        <v>49</v>
      </c>
      <c r="H248" s="217">
        <f>'прил9 (ведом 25-26)'!M171</f>
        <v>32722.7</v>
      </c>
      <c r="I248" s="217">
        <f>'прил9 (ведом 25-26)'!N171</f>
        <v>32722.7</v>
      </c>
    </row>
    <row r="249" spans="1:9" ht="36" x14ac:dyDescent="0.35">
      <c r="A249" s="329"/>
      <c r="B249" s="494" t="s">
        <v>53</v>
      </c>
      <c r="C249" s="356" t="s">
        <v>220</v>
      </c>
      <c r="D249" s="357" t="s">
        <v>44</v>
      </c>
      <c r="E249" s="209" t="s">
        <v>36</v>
      </c>
      <c r="F249" s="210" t="s">
        <v>47</v>
      </c>
      <c r="G249" s="33" t="s">
        <v>54</v>
      </c>
      <c r="H249" s="217">
        <f>'прил9 (ведом 25-26)'!M172</f>
        <v>836.3</v>
      </c>
      <c r="I249" s="217">
        <f>'прил9 (ведом 25-26)'!N172</f>
        <v>837.2</v>
      </c>
    </row>
    <row r="250" spans="1:9" ht="18" x14ac:dyDescent="0.35">
      <c r="A250" s="329"/>
      <c r="B250" s="494" t="s">
        <v>55</v>
      </c>
      <c r="C250" s="356" t="s">
        <v>220</v>
      </c>
      <c r="D250" s="357" t="s">
        <v>44</v>
      </c>
      <c r="E250" s="209" t="s">
        <v>36</v>
      </c>
      <c r="F250" s="210" t="s">
        <v>47</v>
      </c>
      <c r="G250" s="33" t="s">
        <v>56</v>
      </c>
      <c r="H250" s="217">
        <f>'прил9 (ведом 25-26)'!M173</f>
        <v>4.5</v>
      </c>
      <c r="I250" s="217">
        <f>'прил9 (ведом 25-26)'!N173</f>
        <v>4.4000000000000004</v>
      </c>
    </row>
    <row r="251" spans="1:9" ht="36" x14ac:dyDescent="0.35">
      <c r="A251" s="329"/>
      <c r="B251" s="497" t="s">
        <v>496</v>
      </c>
      <c r="C251" s="356" t="s">
        <v>220</v>
      </c>
      <c r="D251" s="357" t="s">
        <v>44</v>
      </c>
      <c r="E251" s="209" t="s">
        <v>36</v>
      </c>
      <c r="F251" s="210" t="s">
        <v>495</v>
      </c>
      <c r="G251" s="33"/>
      <c r="H251" s="217">
        <f>H252</f>
        <v>115.6</v>
      </c>
      <c r="I251" s="217">
        <f>I252</f>
        <v>115.6</v>
      </c>
    </row>
    <row r="252" spans="1:9" ht="36" x14ac:dyDescent="0.35">
      <c r="A252" s="329"/>
      <c r="B252" s="497" t="s">
        <v>53</v>
      </c>
      <c r="C252" s="356" t="s">
        <v>220</v>
      </c>
      <c r="D252" s="357" t="s">
        <v>44</v>
      </c>
      <c r="E252" s="209" t="s">
        <v>36</v>
      </c>
      <c r="F252" s="210" t="s">
        <v>495</v>
      </c>
      <c r="G252" s="33" t="s">
        <v>54</v>
      </c>
      <c r="H252" s="217">
        <f>'прил9 (ведом 25-26)'!M189</f>
        <v>115.6</v>
      </c>
      <c r="I252" s="217">
        <f>'прил9 (ведом 25-26)'!N189</f>
        <v>115.6</v>
      </c>
    </row>
    <row r="253" spans="1:9" ht="18" x14ac:dyDescent="0.35">
      <c r="A253" s="329"/>
      <c r="B253" s="493" t="s">
        <v>300</v>
      </c>
      <c r="C253" s="356" t="s">
        <v>220</v>
      </c>
      <c r="D253" s="357" t="s">
        <v>44</v>
      </c>
      <c r="E253" s="209" t="s">
        <v>38</v>
      </c>
      <c r="F253" s="210" t="s">
        <v>43</v>
      </c>
      <c r="G253" s="33"/>
      <c r="H253" s="217">
        <f>H254</f>
        <v>9000</v>
      </c>
      <c r="I253" s="217">
        <f>I254</f>
        <v>9000</v>
      </c>
    </row>
    <row r="254" spans="1:9" ht="36" x14ac:dyDescent="0.35">
      <c r="A254" s="329"/>
      <c r="B254" s="494" t="s">
        <v>254</v>
      </c>
      <c r="C254" s="356" t="s">
        <v>220</v>
      </c>
      <c r="D254" s="357" t="s">
        <v>44</v>
      </c>
      <c r="E254" s="209" t="s">
        <v>38</v>
      </c>
      <c r="F254" s="210" t="s">
        <v>401</v>
      </c>
      <c r="G254" s="33"/>
      <c r="H254" s="217">
        <f>H255</f>
        <v>9000</v>
      </c>
      <c r="I254" s="217">
        <f>I255</f>
        <v>9000</v>
      </c>
    </row>
    <row r="255" spans="1:9" ht="18" x14ac:dyDescent="0.35">
      <c r="A255" s="329"/>
      <c r="B255" s="494" t="s">
        <v>121</v>
      </c>
      <c r="C255" s="356" t="s">
        <v>220</v>
      </c>
      <c r="D255" s="357" t="s">
        <v>44</v>
      </c>
      <c r="E255" s="209" t="s">
        <v>38</v>
      </c>
      <c r="F255" s="210" t="s">
        <v>401</v>
      </c>
      <c r="G255" s="33" t="s">
        <v>122</v>
      </c>
      <c r="H255" s="217">
        <f>'прил9 (ведом 25-26)'!M196</f>
        <v>9000</v>
      </c>
      <c r="I255" s="217">
        <f>'прил9 (ведом 25-26)'!N196</f>
        <v>9000</v>
      </c>
    </row>
    <row r="256" spans="1:9" ht="36" x14ac:dyDescent="0.35">
      <c r="A256" s="329"/>
      <c r="B256" s="493" t="s">
        <v>347</v>
      </c>
      <c r="C256" s="356" t="s">
        <v>220</v>
      </c>
      <c r="D256" s="357" t="s">
        <v>44</v>
      </c>
      <c r="E256" s="209" t="s">
        <v>61</v>
      </c>
      <c r="F256" s="210" t="s">
        <v>43</v>
      </c>
      <c r="G256" s="33"/>
      <c r="H256" s="217">
        <f>H257</f>
        <v>3090.8</v>
      </c>
      <c r="I256" s="217">
        <f>I257</f>
        <v>3090.8</v>
      </c>
    </row>
    <row r="257" spans="1:9" ht="54" x14ac:dyDescent="0.35">
      <c r="A257" s="329"/>
      <c r="B257" s="493" t="s">
        <v>348</v>
      </c>
      <c r="C257" s="356" t="s">
        <v>220</v>
      </c>
      <c r="D257" s="357" t="s">
        <v>44</v>
      </c>
      <c r="E257" s="209" t="s">
        <v>61</v>
      </c>
      <c r="F257" s="210" t="s">
        <v>103</v>
      </c>
      <c r="G257" s="33"/>
      <c r="H257" s="217">
        <f>H258</f>
        <v>3090.8</v>
      </c>
      <c r="I257" s="217">
        <f>I258</f>
        <v>3090.8</v>
      </c>
    </row>
    <row r="258" spans="1:9" ht="36" x14ac:dyDescent="0.35">
      <c r="A258" s="329"/>
      <c r="B258" s="493" t="s">
        <v>53</v>
      </c>
      <c r="C258" s="356" t="s">
        <v>220</v>
      </c>
      <c r="D258" s="357" t="s">
        <v>44</v>
      </c>
      <c r="E258" s="209" t="s">
        <v>61</v>
      </c>
      <c r="F258" s="210" t="s">
        <v>103</v>
      </c>
      <c r="G258" s="33" t="s">
        <v>54</v>
      </c>
      <c r="H258" s="217">
        <f>'прил9 (ведом 25-26)'!M179</f>
        <v>3090.8</v>
      </c>
      <c r="I258" s="217">
        <f>'прил9 (ведом 25-26)'!N179</f>
        <v>3090.8</v>
      </c>
    </row>
    <row r="259" spans="1:9" ht="36" x14ac:dyDescent="0.35">
      <c r="A259" s="329"/>
      <c r="B259" s="494" t="s">
        <v>458</v>
      </c>
      <c r="C259" s="356" t="s">
        <v>220</v>
      </c>
      <c r="D259" s="357" t="s">
        <v>44</v>
      </c>
      <c r="E259" s="209" t="s">
        <v>63</v>
      </c>
      <c r="F259" s="210" t="s">
        <v>43</v>
      </c>
      <c r="G259" s="33"/>
      <c r="H259" s="217">
        <f>H260</f>
        <v>17.600000000000001</v>
      </c>
      <c r="I259" s="217">
        <f>I260</f>
        <v>17.600000000000001</v>
      </c>
    </row>
    <row r="260" spans="1:9" ht="18" x14ac:dyDescent="0.35">
      <c r="A260" s="329"/>
      <c r="B260" s="494" t="s">
        <v>456</v>
      </c>
      <c r="C260" s="356" t="s">
        <v>220</v>
      </c>
      <c r="D260" s="357" t="s">
        <v>44</v>
      </c>
      <c r="E260" s="209" t="s">
        <v>63</v>
      </c>
      <c r="F260" s="210" t="s">
        <v>457</v>
      </c>
      <c r="G260" s="33"/>
      <c r="H260" s="217">
        <f>H261</f>
        <v>17.600000000000001</v>
      </c>
      <c r="I260" s="217">
        <f>I261</f>
        <v>17.600000000000001</v>
      </c>
    </row>
    <row r="261" spans="1:9" ht="36" x14ac:dyDescent="0.35">
      <c r="A261" s="329"/>
      <c r="B261" s="494" t="s">
        <v>53</v>
      </c>
      <c r="C261" s="356" t="s">
        <v>220</v>
      </c>
      <c r="D261" s="357" t="s">
        <v>44</v>
      </c>
      <c r="E261" s="209" t="s">
        <v>63</v>
      </c>
      <c r="F261" s="210" t="s">
        <v>457</v>
      </c>
      <c r="G261" s="33" t="s">
        <v>54</v>
      </c>
      <c r="H261" s="217">
        <f>'прил9 (ведом 25-26)'!M182</f>
        <v>17.600000000000001</v>
      </c>
      <c r="I261" s="217">
        <f>'прил9 (ведом 25-26)'!N182</f>
        <v>17.600000000000001</v>
      </c>
    </row>
    <row r="262" spans="1:9" ht="18" x14ac:dyDescent="0.35">
      <c r="A262" s="329"/>
      <c r="B262" s="494"/>
      <c r="C262" s="357"/>
      <c r="D262" s="357"/>
      <c r="E262" s="357"/>
      <c r="F262" s="358"/>
      <c r="G262" s="33"/>
      <c r="H262" s="217"/>
      <c r="I262" s="217"/>
    </row>
    <row r="263" spans="1:9" s="339" customFormat="1" ht="52.2" x14ac:dyDescent="0.3">
      <c r="A263" s="335">
        <v>7</v>
      </c>
      <c r="B263" s="515" t="s">
        <v>221</v>
      </c>
      <c r="C263" s="359" t="s">
        <v>222</v>
      </c>
      <c r="D263" s="345" t="s">
        <v>41</v>
      </c>
      <c r="E263" s="345" t="s">
        <v>42</v>
      </c>
      <c r="F263" s="346" t="s">
        <v>43</v>
      </c>
      <c r="G263" s="360"/>
      <c r="H263" s="251">
        <f>H264+H268</f>
        <v>33178.199999999997</v>
      </c>
      <c r="I263" s="251">
        <f>I264+I268</f>
        <v>33188.700000000004</v>
      </c>
    </row>
    <row r="264" spans="1:9" s="339" customFormat="1" ht="36" x14ac:dyDescent="0.35">
      <c r="A264" s="335"/>
      <c r="B264" s="523" t="s">
        <v>223</v>
      </c>
      <c r="C264" s="361" t="s">
        <v>222</v>
      </c>
      <c r="D264" s="362" t="s">
        <v>44</v>
      </c>
      <c r="E264" s="362" t="s">
        <v>42</v>
      </c>
      <c r="F264" s="363" t="s">
        <v>43</v>
      </c>
      <c r="G264" s="343"/>
      <c r="H264" s="217">
        <f>H265</f>
        <v>1246.5</v>
      </c>
      <c r="I264" s="217">
        <f>I265</f>
        <v>1254.0999999999999</v>
      </c>
    </row>
    <row r="265" spans="1:9" s="339" customFormat="1" ht="36" x14ac:dyDescent="0.35">
      <c r="A265" s="335"/>
      <c r="B265" s="526" t="s">
        <v>334</v>
      </c>
      <c r="C265" s="340" t="s">
        <v>222</v>
      </c>
      <c r="D265" s="341" t="s">
        <v>44</v>
      </c>
      <c r="E265" s="341" t="s">
        <v>38</v>
      </c>
      <c r="F265" s="364" t="s">
        <v>43</v>
      </c>
      <c r="G265" s="343"/>
      <c r="H265" s="217">
        <f>H266</f>
        <v>1246.5</v>
      </c>
      <c r="I265" s="217">
        <f>I266</f>
        <v>1254.0999999999999</v>
      </c>
    </row>
    <row r="266" spans="1:9" s="339" customFormat="1" ht="36" x14ac:dyDescent="0.35">
      <c r="A266" s="335"/>
      <c r="B266" s="526" t="s">
        <v>333</v>
      </c>
      <c r="C266" s="340" t="s">
        <v>222</v>
      </c>
      <c r="D266" s="341" t="s">
        <v>44</v>
      </c>
      <c r="E266" s="341" t="s">
        <v>38</v>
      </c>
      <c r="F266" s="364" t="s">
        <v>332</v>
      </c>
      <c r="G266" s="343"/>
      <c r="H266" s="217">
        <f t="shared" ref="H266:I266" si="1">H267</f>
        <v>1246.5</v>
      </c>
      <c r="I266" s="217">
        <f t="shared" si="1"/>
        <v>1254.0999999999999</v>
      </c>
    </row>
    <row r="267" spans="1:9" s="339" customFormat="1" ht="36" x14ac:dyDescent="0.35">
      <c r="A267" s="335"/>
      <c r="B267" s="526" t="s">
        <v>53</v>
      </c>
      <c r="C267" s="340" t="s">
        <v>222</v>
      </c>
      <c r="D267" s="341" t="s">
        <v>44</v>
      </c>
      <c r="E267" s="341" t="s">
        <v>38</v>
      </c>
      <c r="F267" s="364" t="s">
        <v>332</v>
      </c>
      <c r="G267" s="343" t="s">
        <v>54</v>
      </c>
      <c r="H267" s="217">
        <f>'прил9 (ведом 25-26)'!M215</f>
        <v>1246.5</v>
      </c>
      <c r="I267" s="217">
        <f>'прил9 (ведом 25-26)'!N215</f>
        <v>1254.0999999999999</v>
      </c>
    </row>
    <row r="268" spans="1:9" ht="36" x14ac:dyDescent="0.35">
      <c r="A268" s="354"/>
      <c r="B268" s="516" t="s">
        <v>225</v>
      </c>
      <c r="C268" s="347" t="s">
        <v>222</v>
      </c>
      <c r="D268" s="355" t="s">
        <v>87</v>
      </c>
      <c r="E268" s="355" t="s">
        <v>42</v>
      </c>
      <c r="F268" s="365" t="s">
        <v>43</v>
      </c>
      <c r="G268" s="366"/>
      <c r="H268" s="217">
        <f>H269+H280+H283</f>
        <v>31931.699999999997</v>
      </c>
      <c r="I268" s="217">
        <f>I269+I280+I283</f>
        <v>31934.600000000002</v>
      </c>
    </row>
    <row r="269" spans="1:9" ht="72" x14ac:dyDescent="0.35">
      <c r="A269" s="354"/>
      <c r="B269" s="516" t="s">
        <v>297</v>
      </c>
      <c r="C269" s="347" t="s">
        <v>222</v>
      </c>
      <c r="D269" s="355" t="s">
        <v>87</v>
      </c>
      <c r="E269" s="355" t="s">
        <v>36</v>
      </c>
      <c r="F269" s="365" t="s">
        <v>43</v>
      </c>
      <c r="G269" s="366"/>
      <c r="H269" s="217">
        <f>H270+H274+H278</f>
        <v>31109.899999999998</v>
      </c>
      <c r="I269" s="217">
        <f>I270+I274+I278</f>
        <v>31112.800000000003</v>
      </c>
    </row>
    <row r="270" spans="1:9" ht="36" x14ac:dyDescent="0.35">
      <c r="A270" s="354"/>
      <c r="B270" s="516" t="s">
        <v>46</v>
      </c>
      <c r="C270" s="367" t="s">
        <v>222</v>
      </c>
      <c r="D270" s="368" t="s">
        <v>87</v>
      </c>
      <c r="E270" s="368" t="s">
        <v>36</v>
      </c>
      <c r="F270" s="369" t="s">
        <v>47</v>
      </c>
      <c r="G270" s="366"/>
      <c r="H270" s="217">
        <f>SUM(H271:H273)</f>
        <v>16963.100000000002</v>
      </c>
      <c r="I270" s="217">
        <f>SUM(I271:I273)</f>
        <v>16963.500000000004</v>
      </c>
    </row>
    <row r="271" spans="1:9" ht="90" x14ac:dyDescent="0.35">
      <c r="A271" s="354"/>
      <c r="B271" s="516" t="s">
        <v>48</v>
      </c>
      <c r="C271" s="347" t="s">
        <v>222</v>
      </c>
      <c r="D271" s="355" t="s">
        <v>87</v>
      </c>
      <c r="E271" s="355" t="s">
        <v>36</v>
      </c>
      <c r="F271" s="365" t="s">
        <v>47</v>
      </c>
      <c r="G271" s="366" t="s">
        <v>49</v>
      </c>
      <c r="H271" s="217">
        <f>'прил9 (ведом 25-26)'!M219</f>
        <v>16573.600000000002</v>
      </c>
      <c r="I271" s="217">
        <f>'прил9 (ведом 25-26)'!N219</f>
        <v>16573.600000000002</v>
      </c>
    </row>
    <row r="272" spans="1:9" ht="36" x14ac:dyDescent="0.35">
      <c r="A272" s="354"/>
      <c r="B272" s="526" t="s">
        <v>53</v>
      </c>
      <c r="C272" s="370" t="s">
        <v>222</v>
      </c>
      <c r="D272" s="341" t="s">
        <v>87</v>
      </c>
      <c r="E272" s="341" t="s">
        <v>36</v>
      </c>
      <c r="F272" s="364" t="s">
        <v>47</v>
      </c>
      <c r="G272" s="343" t="s">
        <v>54</v>
      </c>
      <c r="H272" s="217">
        <f>'прил9 (ведом 25-26)'!M220</f>
        <v>388</v>
      </c>
      <c r="I272" s="217">
        <f>'прил9 (ведом 25-26)'!N220</f>
        <v>388.4</v>
      </c>
    </row>
    <row r="273" spans="1:9" ht="18" x14ac:dyDescent="0.35">
      <c r="A273" s="354"/>
      <c r="B273" s="523" t="s">
        <v>55</v>
      </c>
      <c r="C273" s="370" t="s">
        <v>222</v>
      </c>
      <c r="D273" s="341" t="s">
        <v>87</v>
      </c>
      <c r="E273" s="341" t="s">
        <v>36</v>
      </c>
      <c r="F273" s="364" t="s">
        <v>47</v>
      </c>
      <c r="G273" s="343" t="s">
        <v>56</v>
      </c>
      <c r="H273" s="217">
        <f>'прил9 (ведом 25-26)'!M221</f>
        <v>1.5</v>
      </c>
      <c r="I273" s="217">
        <f>'прил9 (ведом 25-26)'!N221</f>
        <v>1.5</v>
      </c>
    </row>
    <row r="274" spans="1:9" ht="36" x14ac:dyDescent="0.35">
      <c r="A274" s="354"/>
      <c r="B274" s="493" t="s">
        <v>454</v>
      </c>
      <c r="C274" s="347" t="s">
        <v>222</v>
      </c>
      <c r="D274" s="355" t="s">
        <v>87</v>
      </c>
      <c r="E274" s="355" t="s">
        <v>36</v>
      </c>
      <c r="F274" s="365" t="s">
        <v>89</v>
      </c>
      <c r="G274" s="366"/>
      <c r="H274" s="217">
        <f>SUM(H275:H277)</f>
        <v>13745.499999999998</v>
      </c>
      <c r="I274" s="217">
        <f>SUM(I275:I277)</f>
        <v>13748</v>
      </c>
    </row>
    <row r="275" spans="1:9" ht="90" x14ac:dyDescent="0.35">
      <c r="A275" s="354"/>
      <c r="B275" s="516" t="s">
        <v>48</v>
      </c>
      <c r="C275" s="347" t="s">
        <v>222</v>
      </c>
      <c r="D275" s="355" t="s">
        <v>87</v>
      </c>
      <c r="E275" s="355" t="s">
        <v>36</v>
      </c>
      <c r="F275" s="365" t="s">
        <v>89</v>
      </c>
      <c r="G275" s="366" t="s">
        <v>49</v>
      </c>
      <c r="H275" s="217">
        <f>'прил9 (ведом 25-26)'!M223</f>
        <v>13035.199999999999</v>
      </c>
      <c r="I275" s="217">
        <f>'прил9 (ведом 25-26)'!N223</f>
        <v>13035.199999999999</v>
      </c>
    </row>
    <row r="276" spans="1:9" ht="36" x14ac:dyDescent="0.35">
      <c r="A276" s="354"/>
      <c r="B276" s="494" t="s">
        <v>53</v>
      </c>
      <c r="C276" s="367" t="s">
        <v>222</v>
      </c>
      <c r="D276" s="368" t="s">
        <v>87</v>
      </c>
      <c r="E276" s="368" t="s">
        <v>36</v>
      </c>
      <c r="F276" s="369" t="s">
        <v>89</v>
      </c>
      <c r="G276" s="366" t="s">
        <v>54</v>
      </c>
      <c r="H276" s="217">
        <f>'прил9 (ведом 25-26)'!M224</f>
        <v>689</v>
      </c>
      <c r="I276" s="217">
        <f>'прил9 (ведом 25-26)'!N224</f>
        <v>692.6</v>
      </c>
    </row>
    <row r="277" spans="1:9" ht="18" x14ac:dyDescent="0.35">
      <c r="A277" s="354"/>
      <c r="B277" s="517" t="s">
        <v>55</v>
      </c>
      <c r="C277" s="347" t="s">
        <v>222</v>
      </c>
      <c r="D277" s="355" t="s">
        <v>87</v>
      </c>
      <c r="E277" s="355" t="s">
        <v>36</v>
      </c>
      <c r="F277" s="365" t="s">
        <v>89</v>
      </c>
      <c r="G277" s="366" t="s">
        <v>56</v>
      </c>
      <c r="H277" s="217">
        <f>'прил9 (ведом 25-26)'!M225</f>
        <v>21.3</v>
      </c>
      <c r="I277" s="217">
        <f>'прил9 (ведом 25-26)'!N225</f>
        <v>20.2</v>
      </c>
    </row>
    <row r="278" spans="1:9" ht="54" x14ac:dyDescent="0.35">
      <c r="A278" s="354"/>
      <c r="B278" s="526" t="s">
        <v>350</v>
      </c>
      <c r="C278" s="370" t="s">
        <v>222</v>
      </c>
      <c r="D278" s="341" t="s">
        <v>87</v>
      </c>
      <c r="E278" s="341" t="s">
        <v>36</v>
      </c>
      <c r="F278" s="364" t="s">
        <v>349</v>
      </c>
      <c r="G278" s="343"/>
      <c r="H278" s="217">
        <f>H279</f>
        <v>401.3</v>
      </c>
      <c r="I278" s="217">
        <f>I279</f>
        <v>401.3</v>
      </c>
    </row>
    <row r="279" spans="1:9" ht="36" x14ac:dyDescent="0.35">
      <c r="A279" s="354"/>
      <c r="B279" s="526" t="s">
        <v>53</v>
      </c>
      <c r="C279" s="370" t="s">
        <v>222</v>
      </c>
      <c r="D279" s="341" t="s">
        <v>87</v>
      </c>
      <c r="E279" s="341" t="s">
        <v>36</v>
      </c>
      <c r="F279" s="371" t="s">
        <v>349</v>
      </c>
      <c r="G279" s="343" t="s">
        <v>54</v>
      </c>
      <c r="H279" s="217">
        <f>'прил9 (ведом 25-26)'!M227</f>
        <v>401.3</v>
      </c>
      <c r="I279" s="217">
        <f>'прил9 (ведом 25-26)'!N227</f>
        <v>401.3</v>
      </c>
    </row>
    <row r="280" spans="1:9" ht="36" x14ac:dyDescent="0.35">
      <c r="A280" s="354"/>
      <c r="B280" s="537" t="s">
        <v>347</v>
      </c>
      <c r="C280" s="370" t="s">
        <v>222</v>
      </c>
      <c r="D280" s="372" t="s">
        <v>87</v>
      </c>
      <c r="E280" s="372" t="s">
        <v>38</v>
      </c>
      <c r="F280" s="373" t="s">
        <v>43</v>
      </c>
      <c r="G280" s="374"/>
      <c r="H280" s="217">
        <f>H281</f>
        <v>811.2</v>
      </c>
      <c r="I280" s="217">
        <f>I281</f>
        <v>811.2</v>
      </c>
    </row>
    <row r="281" spans="1:9" ht="54" x14ac:dyDescent="0.35">
      <c r="A281" s="354"/>
      <c r="B281" s="538" t="s">
        <v>348</v>
      </c>
      <c r="C281" s="375" t="s">
        <v>222</v>
      </c>
      <c r="D281" s="372" t="s">
        <v>87</v>
      </c>
      <c r="E281" s="372" t="s">
        <v>38</v>
      </c>
      <c r="F281" s="373" t="s">
        <v>103</v>
      </c>
      <c r="G281" s="376"/>
      <c r="H281" s="217">
        <f>H282</f>
        <v>811.2</v>
      </c>
      <c r="I281" s="217">
        <f>I282</f>
        <v>811.2</v>
      </c>
    </row>
    <row r="282" spans="1:9" ht="36" x14ac:dyDescent="0.35">
      <c r="A282" s="354"/>
      <c r="B282" s="539" t="s">
        <v>53</v>
      </c>
      <c r="C282" s="375" t="s">
        <v>222</v>
      </c>
      <c r="D282" s="377" t="s">
        <v>87</v>
      </c>
      <c r="E282" s="377" t="s">
        <v>38</v>
      </c>
      <c r="F282" s="378" t="s">
        <v>103</v>
      </c>
      <c r="G282" s="379" t="s">
        <v>54</v>
      </c>
      <c r="H282" s="217">
        <f>'прил9 (ведом 25-26)'!M230</f>
        <v>811.2</v>
      </c>
      <c r="I282" s="217">
        <f>'прил9 (ведом 25-26)'!N230</f>
        <v>811.2</v>
      </c>
    </row>
    <row r="283" spans="1:9" ht="18" x14ac:dyDescent="0.35">
      <c r="A283" s="354"/>
      <c r="B283" s="522" t="s">
        <v>370</v>
      </c>
      <c r="C283" s="375" t="s">
        <v>222</v>
      </c>
      <c r="D283" s="372" t="s">
        <v>87</v>
      </c>
      <c r="E283" s="372" t="s">
        <v>61</v>
      </c>
      <c r="F283" s="373" t="s">
        <v>43</v>
      </c>
      <c r="G283" s="376"/>
      <c r="H283" s="217">
        <f>H284</f>
        <v>10.6</v>
      </c>
      <c r="I283" s="217">
        <f>I284</f>
        <v>10.6</v>
      </c>
    </row>
    <row r="284" spans="1:9" ht="36" x14ac:dyDescent="0.35">
      <c r="A284" s="354"/>
      <c r="B284" s="522" t="s">
        <v>333</v>
      </c>
      <c r="C284" s="380" t="s">
        <v>222</v>
      </c>
      <c r="D284" s="377" t="s">
        <v>87</v>
      </c>
      <c r="E284" s="377" t="s">
        <v>61</v>
      </c>
      <c r="F284" s="378" t="s">
        <v>332</v>
      </c>
      <c r="G284" s="376"/>
      <c r="H284" s="217">
        <f>H285</f>
        <v>10.6</v>
      </c>
      <c r="I284" s="217">
        <f>I285</f>
        <v>10.6</v>
      </c>
    </row>
    <row r="285" spans="1:9" ht="18" x14ac:dyDescent="0.35">
      <c r="A285" s="354"/>
      <c r="B285" s="523" t="s">
        <v>55</v>
      </c>
      <c r="C285" s="370" t="s">
        <v>222</v>
      </c>
      <c r="D285" s="372" t="s">
        <v>87</v>
      </c>
      <c r="E285" s="372" t="s">
        <v>61</v>
      </c>
      <c r="F285" s="373" t="s">
        <v>332</v>
      </c>
      <c r="G285" s="376" t="s">
        <v>56</v>
      </c>
      <c r="H285" s="217">
        <f>'прил9 (ведом 25-26)'!M233</f>
        <v>10.6</v>
      </c>
      <c r="I285" s="217">
        <f>'прил9 (ведом 25-26)'!N233</f>
        <v>10.6</v>
      </c>
    </row>
    <row r="286" spans="1:9" ht="18" x14ac:dyDescent="0.35">
      <c r="A286" s="354"/>
      <c r="B286" s="517"/>
      <c r="C286" s="348"/>
      <c r="D286" s="355"/>
      <c r="E286" s="355"/>
      <c r="F286" s="365"/>
      <c r="G286" s="366"/>
      <c r="H286" s="217"/>
      <c r="I286" s="217"/>
    </row>
    <row r="287" spans="1:9" s="339" customFormat="1" ht="52.2" x14ac:dyDescent="0.3">
      <c r="A287" s="344">
        <v>8</v>
      </c>
      <c r="B287" s="515" t="s">
        <v>291</v>
      </c>
      <c r="C287" s="345" t="s">
        <v>77</v>
      </c>
      <c r="D287" s="345" t="s">
        <v>41</v>
      </c>
      <c r="E287" s="345" t="s">
        <v>42</v>
      </c>
      <c r="F287" s="346" t="s">
        <v>43</v>
      </c>
      <c r="G287" s="338"/>
      <c r="H287" s="251">
        <f>H288</f>
        <v>139674.69999999998</v>
      </c>
      <c r="I287" s="251">
        <f>I288</f>
        <v>138946.1</v>
      </c>
    </row>
    <row r="288" spans="1:9" ht="18" x14ac:dyDescent="0.35">
      <c r="A288" s="329"/>
      <c r="B288" s="493" t="s">
        <v>335</v>
      </c>
      <c r="C288" s="381" t="s">
        <v>77</v>
      </c>
      <c r="D288" s="355" t="s">
        <v>44</v>
      </c>
      <c r="E288" s="355" t="s">
        <v>42</v>
      </c>
      <c r="F288" s="382" t="s">
        <v>43</v>
      </c>
      <c r="G288" s="238"/>
      <c r="H288" s="217">
        <f>H289+H304+H310+H320</f>
        <v>139674.69999999998</v>
      </c>
      <c r="I288" s="217">
        <f>I289+I304+I310+I320</f>
        <v>138946.1</v>
      </c>
    </row>
    <row r="289" spans="1:9" ht="36" x14ac:dyDescent="0.35">
      <c r="A289" s="329"/>
      <c r="B289" s="493" t="s">
        <v>281</v>
      </c>
      <c r="C289" s="208" t="s">
        <v>77</v>
      </c>
      <c r="D289" s="209" t="s">
        <v>44</v>
      </c>
      <c r="E289" s="209" t="s">
        <v>36</v>
      </c>
      <c r="F289" s="210" t="s">
        <v>43</v>
      </c>
      <c r="G289" s="238"/>
      <c r="H289" s="217">
        <f>H290+H293+H298+H301+H296</f>
        <v>66996.499999999985</v>
      </c>
      <c r="I289" s="217">
        <f>I290+I293+I298+I301+I296</f>
        <v>68556.999999999985</v>
      </c>
    </row>
    <row r="290" spans="1:9" ht="126" x14ac:dyDescent="0.35">
      <c r="A290" s="329"/>
      <c r="B290" s="524" t="s">
        <v>353</v>
      </c>
      <c r="C290" s="208" t="s">
        <v>77</v>
      </c>
      <c r="D290" s="209" t="s">
        <v>44</v>
      </c>
      <c r="E290" s="209" t="s">
        <v>36</v>
      </c>
      <c r="F290" s="210" t="s">
        <v>500</v>
      </c>
      <c r="G290" s="33"/>
      <c r="H290" s="217">
        <f>SUM(H291:H292)</f>
        <v>38813.9</v>
      </c>
      <c r="I290" s="217">
        <f>SUM(I291:I292)</f>
        <v>40366.5</v>
      </c>
    </row>
    <row r="291" spans="1:9" ht="36" x14ac:dyDescent="0.35">
      <c r="A291" s="329"/>
      <c r="B291" s="525" t="s">
        <v>53</v>
      </c>
      <c r="C291" s="208" t="s">
        <v>77</v>
      </c>
      <c r="D291" s="209" t="s">
        <v>44</v>
      </c>
      <c r="E291" s="209" t="s">
        <v>36</v>
      </c>
      <c r="F291" s="210" t="s">
        <v>500</v>
      </c>
      <c r="G291" s="33" t="s">
        <v>54</v>
      </c>
      <c r="H291" s="217">
        <f>'прил9 (ведом 25-26)'!M543</f>
        <v>193.1</v>
      </c>
      <c r="I291" s="217">
        <f>'прил9 (ведом 25-26)'!N543</f>
        <v>200.8</v>
      </c>
    </row>
    <row r="292" spans="1:9" ht="18" x14ac:dyDescent="0.35">
      <c r="A292" s="329"/>
      <c r="B292" s="493" t="s">
        <v>118</v>
      </c>
      <c r="C292" s="208" t="s">
        <v>77</v>
      </c>
      <c r="D292" s="209" t="s">
        <v>44</v>
      </c>
      <c r="E292" s="209" t="s">
        <v>36</v>
      </c>
      <c r="F292" s="210" t="s">
        <v>500</v>
      </c>
      <c r="G292" s="33" t="s">
        <v>119</v>
      </c>
      <c r="H292" s="217">
        <f>'прил9 (ведом 25-26)'!M544</f>
        <v>38620.800000000003</v>
      </c>
      <c r="I292" s="217">
        <f>'прил9 (ведом 25-26)'!N544</f>
        <v>40165.699999999997</v>
      </c>
    </row>
    <row r="293" spans="1:9" ht="90" x14ac:dyDescent="0.35">
      <c r="A293" s="329"/>
      <c r="B293" s="493" t="s">
        <v>355</v>
      </c>
      <c r="C293" s="208" t="s">
        <v>77</v>
      </c>
      <c r="D293" s="209" t="s">
        <v>44</v>
      </c>
      <c r="E293" s="209" t="s">
        <v>36</v>
      </c>
      <c r="F293" s="210" t="s">
        <v>502</v>
      </c>
      <c r="G293" s="33"/>
      <c r="H293" s="217">
        <f>SUM(H294:H295)</f>
        <v>196.2</v>
      </c>
      <c r="I293" s="217">
        <f>SUM(I294:I295)</f>
        <v>204.1</v>
      </c>
    </row>
    <row r="294" spans="1:9" ht="36" x14ac:dyDescent="0.35">
      <c r="A294" s="329"/>
      <c r="B294" s="493" t="s">
        <v>53</v>
      </c>
      <c r="C294" s="208" t="s">
        <v>77</v>
      </c>
      <c r="D294" s="209" t="s">
        <v>44</v>
      </c>
      <c r="E294" s="209" t="s">
        <v>36</v>
      </c>
      <c r="F294" s="210" t="s">
        <v>502</v>
      </c>
      <c r="G294" s="33" t="s">
        <v>54</v>
      </c>
      <c r="H294" s="217">
        <f>'прил9 (ведом 25-26)'!M546</f>
        <v>1</v>
      </c>
      <c r="I294" s="217">
        <f>'прил9 (ведом 25-26)'!N546</f>
        <v>1</v>
      </c>
    </row>
    <row r="295" spans="1:9" ht="18" x14ac:dyDescent="0.35">
      <c r="A295" s="329"/>
      <c r="B295" s="493" t="s">
        <v>118</v>
      </c>
      <c r="C295" s="208" t="s">
        <v>77</v>
      </c>
      <c r="D295" s="209" t="s">
        <v>44</v>
      </c>
      <c r="E295" s="209" t="s">
        <v>36</v>
      </c>
      <c r="F295" s="210" t="s">
        <v>502</v>
      </c>
      <c r="G295" s="33" t="s">
        <v>119</v>
      </c>
      <c r="H295" s="217">
        <f>'прил9 (ведом 25-26)'!M547</f>
        <v>195.2</v>
      </c>
      <c r="I295" s="217">
        <f>'прил9 (ведом 25-26)'!N547</f>
        <v>203.1</v>
      </c>
    </row>
    <row r="296" spans="1:9" ht="126" x14ac:dyDescent="0.35">
      <c r="A296" s="329"/>
      <c r="B296" s="497" t="s">
        <v>671</v>
      </c>
      <c r="C296" s="676" t="s">
        <v>77</v>
      </c>
      <c r="D296" s="677" t="s">
        <v>44</v>
      </c>
      <c r="E296" s="677" t="s">
        <v>36</v>
      </c>
      <c r="F296" s="678" t="s">
        <v>670</v>
      </c>
      <c r="G296" s="15"/>
      <c r="H296" s="217">
        <f>H297</f>
        <v>142.9</v>
      </c>
      <c r="I296" s="217">
        <f>I297</f>
        <v>142.9</v>
      </c>
    </row>
    <row r="297" spans="1:9" ht="18" x14ac:dyDescent="0.35">
      <c r="A297" s="329"/>
      <c r="B297" s="497" t="s">
        <v>118</v>
      </c>
      <c r="C297" s="676" t="s">
        <v>77</v>
      </c>
      <c r="D297" s="677" t="s">
        <v>44</v>
      </c>
      <c r="E297" s="677" t="s">
        <v>36</v>
      </c>
      <c r="F297" s="678" t="s">
        <v>670</v>
      </c>
      <c r="G297" s="15" t="s">
        <v>119</v>
      </c>
      <c r="H297" s="217">
        <f>'прил9 (ведом 25-26)'!M549</f>
        <v>142.9</v>
      </c>
      <c r="I297" s="217">
        <f>'прил9 (ведом 25-26)'!N549</f>
        <v>142.9</v>
      </c>
    </row>
    <row r="298" spans="1:9" ht="90" x14ac:dyDescent="0.35">
      <c r="A298" s="329"/>
      <c r="B298" s="493" t="s">
        <v>354</v>
      </c>
      <c r="C298" s="208" t="s">
        <v>77</v>
      </c>
      <c r="D298" s="209" t="s">
        <v>44</v>
      </c>
      <c r="E298" s="209" t="s">
        <v>36</v>
      </c>
      <c r="F298" s="210" t="s">
        <v>501</v>
      </c>
      <c r="G298" s="33"/>
      <c r="H298" s="217">
        <f>SUM(H299:H300)</f>
        <v>27653.599999999999</v>
      </c>
      <c r="I298" s="217">
        <f>SUM(I299:I300)</f>
        <v>27653.599999999999</v>
      </c>
    </row>
    <row r="299" spans="1:9" ht="36" x14ac:dyDescent="0.35">
      <c r="A299" s="329"/>
      <c r="B299" s="525" t="s">
        <v>53</v>
      </c>
      <c r="C299" s="208" t="s">
        <v>77</v>
      </c>
      <c r="D299" s="209" t="s">
        <v>44</v>
      </c>
      <c r="E299" s="209" t="s">
        <v>36</v>
      </c>
      <c r="F299" s="210" t="s">
        <v>501</v>
      </c>
      <c r="G299" s="33" t="s">
        <v>54</v>
      </c>
      <c r="H299" s="217">
        <f>'прил9 (ведом 25-26)'!M551</f>
        <v>138.30000000000001</v>
      </c>
      <c r="I299" s="217">
        <f>'прил9 (ведом 25-26)'!N551</f>
        <v>138.30000000000001</v>
      </c>
    </row>
    <row r="300" spans="1:9" ht="18" x14ac:dyDescent="0.35">
      <c r="A300" s="329"/>
      <c r="B300" s="493" t="s">
        <v>118</v>
      </c>
      <c r="C300" s="208" t="s">
        <v>77</v>
      </c>
      <c r="D300" s="209" t="s">
        <v>44</v>
      </c>
      <c r="E300" s="209" t="s">
        <v>36</v>
      </c>
      <c r="F300" s="210" t="s">
        <v>501</v>
      </c>
      <c r="G300" s="33" t="s">
        <v>119</v>
      </c>
      <c r="H300" s="217">
        <f>'прил9 (ведом 25-26)'!M552</f>
        <v>27515.3</v>
      </c>
      <c r="I300" s="217">
        <f>'прил9 (ведом 25-26)'!N552</f>
        <v>27515.3</v>
      </c>
    </row>
    <row r="301" spans="1:9" ht="108" x14ac:dyDescent="0.35">
      <c r="A301" s="329"/>
      <c r="B301" s="493" t="s">
        <v>361</v>
      </c>
      <c r="C301" s="208" t="s">
        <v>77</v>
      </c>
      <c r="D301" s="209" t="s">
        <v>44</v>
      </c>
      <c r="E301" s="209" t="s">
        <v>36</v>
      </c>
      <c r="F301" s="210" t="s">
        <v>503</v>
      </c>
      <c r="G301" s="33"/>
      <c r="H301" s="217">
        <f>SUM(H302:H303)</f>
        <v>189.9</v>
      </c>
      <c r="I301" s="217">
        <f>SUM(I302:I303)</f>
        <v>189.9</v>
      </c>
    </row>
    <row r="302" spans="1:9" ht="36" x14ac:dyDescent="0.35">
      <c r="A302" s="329"/>
      <c r="B302" s="493" t="s">
        <v>53</v>
      </c>
      <c r="C302" s="208" t="s">
        <v>77</v>
      </c>
      <c r="D302" s="209" t="s">
        <v>44</v>
      </c>
      <c r="E302" s="209" t="s">
        <v>36</v>
      </c>
      <c r="F302" s="210" t="s">
        <v>503</v>
      </c>
      <c r="G302" s="33" t="s">
        <v>54</v>
      </c>
      <c r="H302" s="217">
        <f>'прил9 (ведом 25-26)'!M554</f>
        <v>0.9</v>
      </c>
      <c r="I302" s="217">
        <f>'прил9 (ведом 25-26)'!N554</f>
        <v>0.9</v>
      </c>
    </row>
    <row r="303" spans="1:9" ht="18" x14ac:dyDescent="0.35">
      <c r="A303" s="329"/>
      <c r="B303" s="493" t="s">
        <v>118</v>
      </c>
      <c r="C303" s="208" t="s">
        <v>77</v>
      </c>
      <c r="D303" s="209" t="s">
        <v>44</v>
      </c>
      <c r="E303" s="209" t="s">
        <v>36</v>
      </c>
      <c r="F303" s="210" t="s">
        <v>503</v>
      </c>
      <c r="G303" s="33" t="s">
        <v>119</v>
      </c>
      <c r="H303" s="217">
        <f>'прил9 (ведом 25-26)'!M555</f>
        <v>189</v>
      </c>
      <c r="I303" s="217">
        <f>'прил9 (ведом 25-26)'!N555</f>
        <v>189</v>
      </c>
    </row>
    <row r="304" spans="1:9" ht="72" x14ac:dyDescent="0.35">
      <c r="A304" s="329"/>
      <c r="B304" s="526" t="s">
        <v>296</v>
      </c>
      <c r="C304" s="383" t="s">
        <v>77</v>
      </c>
      <c r="D304" s="384" t="s">
        <v>44</v>
      </c>
      <c r="E304" s="384" t="s">
        <v>38</v>
      </c>
      <c r="F304" s="385" t="s">
        <v>43</v>
      </c>
      <c r="G304" s="386"/>
      <c r="H304" s="217">
        <f>H305+H308</f>
        <v>61926.700000000004</v>
      </c>
      <c r="I304" s="217">
        <f>I305+I308</f>
        <v>59111.9</v>
      </c>
    </row>
    <row r="305" spans="1:9" ht="90" x14ac:dyDescent="0.35">
      <c r="A305" s="329"/>
      <c r="B305" s="523" t="s">
        <v>690</v>
      </c>
      <c r="C305" s="340" t="s">
        <v>77</v>
      </c>
      <c r="D305" s="341" t="s">
        <v>44</v>
      </c>
      <c r="E305" s="341" t="s">
        <v>38</v>
      </c>
      <c r="F305" s="342" t="s">
        <v>601</v>
      </c>
      <c r="G305" s="343"/>
      <c r="H305" s="217">
        <f>H306+H307</f>
        <v>53490.3</v>
      </c>
      <c r="I305" s="217">
        <f>I306+I307</f>
        <v>50675.5</v>
      </c>
    </row>
    <row r="306" spans="1:9" ht="36" x14ac:dyDescent="0.35">
      <c r="A306" s="329"/>
      <c r="B306" s="526" t="s">
        <v>53</v>
      </c>
      <c r="C306" s="340" t="s">
        <v>77</v>
      </c>
      <c r="D306" s="341" t="s">
        <v>44</v>
      </c>
      <c r="E306" s="341" t="s">
        <v>38</v>
      </c>
      <c r="F306" s="342" t="s">
        <v>601</v>
      </c>
      <c r="G306" s="486" t="s">
        <v>54</v>
      </c>
      <c r="H306" s="217">
        <f>'прил9 (ведом 25-26)'!M237</f>
        <v>59.825299999999999</v>
      </c>
      <c r="I306" s="217">
        <f>'прил9 (ведом 25-26)'!N237</f>
        <v>57.105899999999998</v>
      </c>
    </row>
    <row r="307" spans="1:9" ht="36" x14ac:dyDescent="0.35">
      <c r="A307" s="329"/>
      <c r="B307" s="523" t="s">
        <v>200</v>
      </c>
      <c r="C307" s="340" t="s">
        <v>77</v>
      </c>
      <c r="D307" s="341" t="s">
        <v>44</v>
      </c>
      <c r="E307" s="341" t="s">
        <v>38</v>
      </c>
      <c r="F307" s="342" t="s">
        <v>601</v>
      </c>
      <c r="G307" s="343" t="s">
        <v>201</v>
      </c>
      <c r="H307" s="217">
        <f>'прил9 (ведом 25-26)'!M263</f>
        <v>53430.474700000006</v>
      </c>
      <c r="I307" s="217">
        <f>'прил9 (ведом 25-26)'!N263</f>
        <v>50618.394099999998</v>
      </c>
    </row>
    <row r="308" spans="1:9" ht="90" x14ac:dyDescent="0.35">
      <c r="A308" s="329"/>
      <c r="B308" s="540" t="s">
        <v>690</v>
      </c>
      <c r="C308" s="86" t="s">
        <v>77</v>
      </c>
      <c r="D308" s="87" t="s">
        <v>44</v>
      </c>
      <c r="E308" s="87" t="s">
        <v>38</v>
      </c>
      <c r="F308" s="108" t="s">
        <v>513</v>
      </c>
      <c r="G308" s="89"/>
      <c r="H308" s="217">
        <f>H309</f>
        <v>8436.4</v>
      </c>
      <c r="I308" s="217">
        <f>I309</f>
        <v>8436.4</v>
      </c>
    </row>
    <row r="309" spans="1:9" ht="36" x14ac:dyDescent="0.35">
      <c r="A309" s="329"/>
      <c r="B309" s="540" t="s">
        <v>200</v>
      </c>
      <c r="C309" s="86" t="s">
        <v>77</v>
      </c>
      <c r="D309" s="87" t="s">
        <v>44</v>
      </c>
      <c r="E309" s="87" t="s">
        <v>38</v>
      </c>
      <c r="F309" s="108" t="s">
        <v>513</v>
      </c>
      <c r="G309" s="89" t="s">
        <v>201</v>
      </c>
      <c r="H309" s="217">
        <f>'прил9 (ведом 25-26)'!M265</f>
        <v>8436.4</v>
      </c>
      <c r="I309" s="217">
        <f>'прил9 (ведом 25-26)'!N265</f>
        <v>8436.4</v>
      </c>
    </row>
    <row r="310" spans="1:9" ht="36" x14ac:dyDescent="0.35">
      <c r="A310" s="329"/>
      <c r="B310" s="493" t="s">
        <v>225</v>
      </c>
      <c r="C310" s="208" t="s">
        <v>77</v>
      </c>
      <c r="D310" s="209" t="s">
        <v>44</v>
      </c>
      <c r="E310" s="209" t="s">
        <v>61</v>
      </c>
      <c r="F310" s="210" t="s">
        <v>43</v>
      </c>
      <c r="G310" s="33"/>
      <c r="H310" s="217">
        <f>H311+H314+H317</f>
        <v>9251.5</v>
      </c>
      <c r="I310" s="217">
        <f>I311+I314+I317</f>
        <v>9777.2000000000007</v>
      </c>
    </row>
    <row r="311" spans="1:9" ht="234" x14ac:dyDescent="0.35">
      <c r="A311" s="329"/>
      <c r="B311" s="493" t="s">
        <v>228</v>
      </c>
      <c r="C311" s="208" t="s">
        <v>77</v>
      </c>
      <c r="D311" s="209" t="s">
        <v>44</v>
      </c>
      <c r="E311" s="209" t="s">
        <v>61</v>
      </c>
      <c r="F311" s="210" t="s">
        <v>504</v>
      </c>
      <c r="G311" s="33"/>
      <c r="H311" s="217">
        <f>SUM(H312:H313)</f>
        <v>1051.4000000000001</v>
      </c>
      <c r="I311" s="217">
        <f>SUM(I312:I313)</f>
        <v>1577.1</v>
      </c>
    </row>
    <row r="312" spans="1:9" ht="90" x14ac:dyDescent="0.35">
      <c r="A312" s="329"/>
      <c r="B312" s="493" t="s">
        <v>48</v>
      </c>
      <c r="C312" s="208" t="s">
        <v>77</v>
      </c>
      <c r="D312" s="209" t="s">
        <v>44</v>
      </c>
      <c r="E312" s="209" t="s">
        <v>61</v>
      </c>
      <c r="F312" s="210" t="s">
        <v>504</v>
      </c>
      <c r="G312" s="33" t="s">
        <v>49</v>
      </c>
      <c r="H312" s="217">
        <f>'прил9 (ведом 25-26)'!M561</f>
        <v>889.4</v>
      </c>
      <c r="I312" s="217">
        <f>'прил9 (ведом 25-26)'!N561</f>
        <v>1415.1</v>
      </c>
    </row>
    <row r="313" spans="1:9" ht="36" x14ac:dyDescent="0.35">
      <c r="A313" s="329"/>
      <c r="B313" s="493" t="s">
        <v>53</v>
      </c>
      <c r="C313" s="208" t="s">
        <v>77</v>
      </c>
      <c r="D313" s="209" t="s">
        <v>44</v>
      </c>
      <c r="E313" s="209" t="s">
        <v>61</v>
      </c>
      <c r="F313" s="210" t="s">
        <v>504</v>
      </c>
      <c r="G313" s="33" t="s">
        <v>54</v>
      </c>
      <c r="H313" s="217">
        <f>'прил9 (ведом 25-26)'!M562</f>
        <v>162</v>
      </c>
      <c r="I313" s="217">
        <f>'прил9 (ведом 25-26)'!N562</f>
        <v>162</v>
      </c>
    </row>
    <row r="314" spans="1:9" ht="90" x14ac:dyDescent="0.35">
      <c r="A314" s="329"/>
      <c r="B314" s="491" t="s">
        <v>449</v>
      </c>
      <c r="C314" s="208" t="s">
        <v>77</v>
      </c>
      <c r="D314" s="209" t="s">
        <v>44</v>
      </c>
      <c r="E314" s="209" t="s">
        <v>61</v>
      </c>
      <c r="F314" s="210" t="s">
        <v>498</v>
      </c>
      <c r="G314" s="33"/>
      <c r="H314" s="217">
        <f>SUM(H315:H316)</f>
        <v>776</v>
      </c>
      <c r="I314" s="217">
        <f>SUM(I315:I316)</f>
        <v>776</v>
      </c>
    </row>
    <row r="315" spans="1:9" ht="90" x14ac:dyDescent="0.35">
      <c r="A315" s="329"/>
      <c r="B315" s="493" t="s">
        <v>48</v>
      </c>
      <c r="C315" s="208" t="s">
        <v>77</v>
      </c>
      <c r="D315" s="209" t="s">
        <v>44</v>
      </c>
      <c r="E315" s="209" t="s">
        <v>61</v>
      </c>
      <c r="F315" s="210" t="s">
        <v>498</v>
      </c>
      <c r="G315" s="33" t="s">
        <v>49</v>
      </c>
      <c r="H315" s="217">
        <f>'прил9 (ведом 25-26)'!M564</f>
        <v>695</v>
      </c>
      <c r="I315" s="217">
        <f>'прил9 (ведом 25-26)'!N564</f>
        <v>695</v>
      </c>
    </row>
    <row r="316" spans="1:9" ht="36" x14ac:dyDescent="0.35">
      <c r="A316" s="329"/>
      <c r="B316" s="493" t="s">
        <v>53</v>
      </c>
      <c r="C316" s="208" t="s">
        <v>77</v>
      </c>
      <c r="D316" s="209" t="s">
        <v>44</v>
      </c>
      <c r="E316" s="209" t="s">
        <v>61</v>
      </c>
      <c r="F316" s="210" t="s">
        <v>498</v>
      </c>
      <c r="G316" s="33" t="s">
        <v>54</v>
      </c>
      <c r="H316" s="217">
        <f>'прил9 (ведом 25-26)'!M565</f>
        <v>81</v>
      </c>
      <c r="I316" s="217">
        <f>'прил9 (ведом 25-26)'!N565</f>
        <v>81</v>
      </c>
    </row>
    <row r="317" spans="1:9" ht="72" x14ac:dyDescent="0.35">
      <c r="A317" s="329"/>
      <c r="B317" s="493" t="s">
        <v>227</v>
      </c>
      <c r="C317" s="208" t="s">
        <v>77</v>
      </c>
      <c r="D317" s="209" t="s">
        <v>44</v>
      </c>
      <c r="E317" s="209" t="s">
        <v>61</v>
      </c>
      <c r="F317" s="210" t="s">
        <v>499</v>
      </c>
      <c r="G317" s="33"/>
      <c r="H317" s="217">
        <f>H318+H319</f>
        <v>7424.1</v>
      </c>
      <c r="I317" s="217">
        <f>I318+I319</f>
        <v>7424.1</v>
      </c>
    </row>
    <row r="318" spans="1:9" ht="90" x14ac:dyDescent="0.35">
      <c r="A318" s="329"/>
      <c r="B318" s="493" t="s">
        <v>48</v>
      </c>
      <c r="C318" s="208" t="s">
        <v>77</v>
      </c>
      <c r="D318" s="209" t="s">
        <v>44</v>
      </c>
      <c r="E318" s="209" t="s">
        <v>61</v>
      </c>
      <c r="F318" s="210" t="s">
        <v>499</v>
      </c>
      <c r="G318" s="33" t="s">
        <v>49</v>
      </c>
      <c r="H318" s="217">
        <f>'прил9 (ведом 25-26)'!M567</f>
        <v>6695.1</v>
      </c>
      <c r="I318" s="217">
        <f>'прил9 (ведом 25-26)'!N567</f>
        <v>6695.1</v>
      </c>
    </row>
    <row r="319" spans="1:9" ht="36" x14ac:dyDescent="0.35">
      <c r="A319" s="329"/>
      <c r="B319" s="493" t="s">
        <v>53</v>
      </c>
      <c r="C319" s="426" t="s">
        <v>77</v>
      </c>
      <c r="D319" s="427" t="s">
        <v>44</v>
      </c>
      <c r="E319" s="427" t="s">
        <v>61</v>
      </c>
      <c r="F319" s="210" t="s">
        <v>499</v>
      </c>
      <c r="G319" s="33" t="s">
        <v>54</v>
      </c>
      <c r="H319" s="217">
        <f>'прил9 (ведом 25-26)'!M568</f>
        <v>729</v>
      </c>
      <c r="I319" s="217">
        <f>'прил9 (ведом 25-26)'!N568</f>
        <v>729</v>
      </c>
    </row>
    <row r="320" spans="1:9" ht="72" x14ac:dyDescent="0.35">
      <c r="A320" s="329"/>
      <c r="B320" s="531" t="s">
        <v>438</v>
      </c>
      <c r="C320" s="208" t="s">
        <v>77</v>
      </c>
      <c r="D320" s="209" t="s">
        <v>44</v>
      </c>
      <c r="E320" s="209" t="s">
        <v>50</v>
      </c>
      <c r="F320" s="210" t="s">
        <v>43</v>
      </c>
      <c r="G320" s="33"/>
      <c r="H320" s="217">
        <f>H321</f>
        <v>1500</v>
      </c>
      <c r="I320" s="217">
        <f>I321</f>
        <v>1500</v>
      </c>
    </row>
    <row r="321" spans="1:9" ht="72" x14ac:dyDescent="0.35">
      <c r="A321" s="329"/>
      <c r="B321" s="531" t="s">
        <v>434</v>
      </c>
      <c r="C321" s="208" t="s">
        <v>77</v>
      </c>
      <c r="D321" s="209" t="s">
        <v>44</v>
      </c>
      <c r="E321" s="209" t="s">
        <v>50</v>
      </c>
      <c r="F321" s="210" t="s">
        <v>352</v>
      </c>
      <c r="G321" s="33"/>
      <c r="H321" s="217">
        <f>H322</f>
        <v>1500</v>
      </c>
      <c r="I321" s="217">
        <f>I322</f>
        <v>1500</v>
      </c>
    </row>
    <row r="322" spans="1:9" ht="18" x14ac:dyDescent="0.35">
      <c r="A322" s="329"/>
      <c r="B322" s="502" t="s">
        <v>118</v>
      </c>
      <c r="C322" s="208" t="s">
        <v>77</v>
      </c>
      <c r="D322" s="209" t="s">
        <v>44</v>
      </c>
      <c r="E322" s="209" t="s">
        <v>50</v>
      </c>
      <c r="F322" s="210" t="s">
        <v>352</v>
      </c>
      <c r="G322" s="33" t="s">
        <v>119</v>
      </c>
      <c r="H322" s="217">
        <f>'прил9 (ведом 25-26)'!M156</f>
        <v>1500</v>
      </c>
      <c r="I322" s="217">
        <f>'прил9 (ведом 25-26)'!N156</f>
        <v>1500</v>
      </c>
    </row>
    <row r="323" spans="1:9" ht="18" x14ac:dyDescent="0.35">
      <c r="A323" s="329"/>
      <c r="B323" s="502"/>
      <c r="C323" s="209"/>
      <c r="D323" s="209"/>
      <c r="E323" s="209"/>
      <c r="F323" s="210"/>
      <c r="G323" s="33"/>
      <c r="H323" s="217"/>
      <c r="I323" s="217"/>
    </row>
    <row r="324" spans="1:9" ht="69.599999999999994" x14ac:dyDescent="0.35">
      <c r="A324" s="344">
        <v>9</v>
      </c>
      <c r="B324" s="505" t="s">
        <v>328</v>
      </c>
      <c r="C324" s="345" t="s">
        <v>102</v>
      </c>
      <c r="D324" s="345" t="s">
        <v>41</v>
      </c>
      <c r="E324" s="345" t="s">
        <v>42</v>
      </c>
      <c r="F324" s="346" t="s">
        <v>43</v>
      </c>
      <c r="G324" s="33"/>
      <c r="H324" s="251">
        <f t="shared" ref="H324:I327" si="2">H325</f>
        <v>108</v>
      </c>
      <c r="I324" s="251">
        <f t="shared" si="2"/>
        <v>108</v>
      </c>
    </row>
    <row r="325" spans="1:9" ht="36" x14ac:dyDescent="0.35">
      <c r="A325" s="329"/>
      <c r="B325" s="662" t="s">
        <v>686</v>
      </c>
      <c r="C325" s="676" t="s">
        <v>102</v>
      </c>
      <c r="D325" s="677" t="s">
        <v>629</v>
      </c>
      <c r="E325" s="677" t="s">
        <v>42</v>
      </c>
      <c r="F325" s="678" t="s">
        <v>43</v>
      </c>
      <c r="G325" s="420"/>
      <c r="H325" s="217">
        <f t="shared" si="2"/>
        <v>108</v>
      </c>
      <c r="I325" s="217">
        <f t="shared" si="2"/>
        <v>108</v>
      </c>
    </row>
    <row r="326" spans="1:9" ht="36" x14ac:dyDescent="0.35">
      <c r="A326" s="329"/>
      <c r="B326" s="578" t="s">
        <v>687</v>
      </c>
      <c r="C326" s="676" t="s">
        <v>102</v>
      </c>
      <c r="D326" s="677" t="s">
        <v>629</v>
      </c>
      <c r="E326" s="677" t="s">
        <v>36</v>
      </c>
      <c r="F326" s="678" t="s">
        <v>43</v>
      </c>
      <c r="G326" s="15"/>
      <c r="H326" s="217">
        <f t="shared" si="2"/>
        <v>108</v>
      </c>
      <c r="I326" s="217">
        <f t="shared" si="2"/>
        <v>108</v>
      </c>
    </row>
    <row r="327" spans="1:9" ht="54" x14ac:dyDescent="0.35">
      <c r="A327" s="329"/>
      <c r="B327" s="578" t="s">
        <v>688</v>
      </c>
      <c r="C327" s="676" t="s">
        <v>102</v>
      </c>
      <c r="D327" s="677" t="s">
        <v>629</v>
      </c>
      <c r="E327" s="677" t="s">
        <v>36</v>
      </c>
      <c r="F327" s="678" t="s">
        <v>689</v>
      </c>
      <c r="G327" s="15"/>
      <c r="H327" s="217">
        <f t="shared" si="2"/>
        <v>108</v>
      </c>
      <c r="I327" s="217">
        <f t="shared" si="2"/>
        <v>108</v>
      </c>
    </row>
    <row r="328" spans="1:9" ht="36" x14ac:dyDescent="0.35">
      <c r="A328" s="329"/>
      <c r="B328" s="578" t="s">
        <v>53</v>
      </c>
      <c r="C328" s="676" t="s">
        <v>102</v>
      </c>
      <c r="D328" s="677" t="s">
        <v>629</v>
      </c>
      <c r="E328" s="677" t="s">
        <v>36</v>
      </c>
      <c r="F328" s="678" t="s">
        <v>689</v>
      </c>
      <c r="G328" s="15" t="s">
        <v>54</v>
      </c>
      <c r="H328" s="217">
        <f>'прил9 (ведом 25-26)'!M59</f>
        <v>108</v>
      </c>
      <c r="I328" s="217">
        <f>'прил9 (ведом 25-26)'!N59</f>
        <v>108</v>
      </c>
    </row>
    <row r="329" spans="1:9" ht="18" x14ac:dyDescent="0.35">
      <c r="A329" s="329"/>
      <c r="B329" s="502"/>
      <c r="C329" s="209"/>
      <c r="D329" s="209"/>
      <c r="E329" s="209"/>
      <c r="F329" s="210"/>
      <c r="G329" s="33"/>
      <c r="H329" s="217"/>
      <c r="I329" s="217"/>
    </row>
    <row r="330" spans="1:9" s="339" customFormat="1" ht="52.2" x14ac:dyDescent="0.3">
      <c r="A330" s="344">
        <v>10</v>
      </c>
      <c r="B330" s="505" t="s">
        <v>92</v>
      </c>
      <c r="C330" s="345" t="s">
        <v>65</v>
      </c>
      <c r="D330" s="345" t="s">
        <v>41</v>
      </c>
      <c r="E330" s="345" t="s">
        <v>42</v>
      </c>
      <c r="F330" s="346" t="s">
        <v>43</v>
      </c>
      <c r="G330" s="387"/>
      <c r="H330" s="251">
        <f>H331</f>
        <v>24038.799999999999</v>
      </c>
      <c r="I330" s="251">
        <f>I331</f>
        <v>24170.7</v>
      </c>
    </row>
    <row r="331" spans="1:9" ht="18" x14ac:dyDescent="0.35">
      <c r="A331" s="329"/>
      <c r="B331" s="493" t="s">
        <v>335</v>
      </c>
      <c r="C331" s="208" t="s">
        <v>65</v>
      </c>
      <c r="D331" s="209" t="s">
        <v>44</v>
      </c>
      <c r="E331" s="209" t="s">
        <v>42</v>
      </c>
      <c r="F331" s="210" t="s">
        <v>43</v>
      </c>
      <c r="G331" s="350"/>
      <c r="H331" s="217">
        <f>H332+H335</f>
        <v>24038.799999999999</v>
      </c>
      <c r="I331" s="217">
        <f>I332+I335</f>
        <v>24170.7</v>
      </c>
    </row>
    <row r="332" spans="1:9" ht="36" x14ac:dyDescent="0.35">
      <c r="A332" s="329"/>
      <c r="B332" s="493" t="s">
        <v>93</v>
      </c>
      <c r="C332" s="208" t="s">
        <v>65</v>
      </c>
      <c r="D332" s="209" t="s">
        <v>44</v>
      </c>
      <c r="E332" s="209" t="s">
        <v>36</v>
      </c>
      <c r="F332" s="210" t="s">
        <v>43</v>
      </c>
      <c r="G332" s="350"/>
      <c r="H332" s="217">
        <f>H333</f>
        <v>20740</v>
      </c>
      <c r="I332" s="217">
        <f>I333</f>
        <v>20740</v>
      </c>
    </row>
    <row r="333" spans="1:9" ht="54" x14ac:dyDescent="0.35">
      <c r="A333" s="329"/>
      <c r="B333" s="528" t="s">
        <v>404</v>
      </c>
      <c r="C333" s="208" t="s">
        <v>65</v>
      </c>
      <c r="D333" s="209" t="s">
        <v>44</v>
      </c>
      <c r="E333" s="209" t="s">
        <v>36</v>
      </c>
      <c r="F333" s="210" t="s">
        <v>59</v>
      </c>
      <c r="G333" s="33"/>
      <c r="H333" s="217">
        <f>H334</f>
        <v>20740</v>
      </c>
      <c r="I333" s="217">
        <f>I334</f>
        <v>20740</v>
      </c>
    </row>
    <row r="334" spans="1:9" ht="18" x14ac:dyDescent="0.35">
      <c r="A334" s="329"/>
      <c r="B334" s="493" t="s">
        <v>55</v>
      </c>
      <c r="C334" s="208" t="s">
        <v>65</v>
      </c>
      <c r="D334" s="209" t="s">
        <v>44</v>
      </c>
      <c r="E334" s="209" t="s">
        <v>36</v>
      </c>
      <c r="F334" s="210" t="s">
        <v>59</v>
      </c>
      <c r="G334" s="33" t="s">
        <v>56</v>
      </c>
      <c r="H334" s="217">
        <f>'прил9 (ведом 25-26)'!M118</f>
        <v>20740</v>
      </c>
      <c r="I334" s="217">
        <f>'прил9 (ведом 25-26)'!N118</f>
        <v>20740</v>
      </c>
    </row>
    <row r="335" spans="1:9" ht="54" x14ac:dyDescent="0.35">
      <c r="A335" s="329"/>
      <c r="B335" s="493" t="s">
        <v>94</v>
      </c>
      <c r="C335" s="208" t="s">
        <v>65</v>
      </c>
      <c r="D335" s="209" t="s">
        <v>44</v>
      </c>
      <c r="E335" s="209" t="s">
        <v>38</v>
      </c>
      <c r="F335" s="210" t="s">
        <v>43</v>
      </c>
      <c r="G335" s="33"/>
      <c r="H335" s="217">
        <f>H336</f>
        <v>3298.8</v>
      </c>
      <c r="I335" s="217">
        <f>I336</f>
        <v>3430.7</v>
      </c>
    </row>
    <row r="336" spans="1:9" ht="162" x14ac:dyDescent="0.35">
      <c r="A336" s="329"/>
      <c r="B336" s="494" t="s">
        <v>492</v>
      </c>
      <c r="C336" s="208" t="s">
        <v>65</v>
      </c>
      <c r="D336" s="209" t="s">
        <v>44</v>
      </c>
      <c r="E336" s="209" t="s">
        <v>38</v>
      </c>
      <c r="F336" s="210" t="s">
        <v>95</v>
      </c>
      <c r="G336" s="33"/>
      <c r="H336" s="217">
        <f>H337</f>
        <v>3298.8</v>
      </c>
      <c r="I336" s="217">
        <f>I337</f>
        <v>3430.7</v>
      </c>
    </row>
    <row r="337" spans="1:9" ht="36" x14ac:dyDescent="0.35">
      <c r="A337" s="329"/>
      <c r="B337" s="493" t="s">
        <v>53</v>
      </c>
      <c r="C337" s="208" t="s">
        <v>65</v>
      </c>
      <c r="D337" s="209" t="s">
        <v>44</v>
      </c>
      <c r="E337" s="209" t="s">
        <v>38</v>
      </c>
      <c r="F337" s="210" t="s">
        <v>95</v>
      </c>
      <c r="G337" s="33" t="s">
        <v>54</v>
      </c>
      <c r="H337" s="217">
        <f>'прил9 (ведом 25-26)'!M121</f>
        <v>3298.8</v>
      </c>
      <c r="I337" s="217">
        <f>'прил9 (ведом 25-26)'!N121</f>
        <v>3430.7</v>
      </c>
    </row>
    <row r="338" spans="1:9" ht="18" x14ac:dyDescent="0.35">
      <c r="A338" s="329"/>
      <c r="B338" s="500"/>
      <c r="C338" s="670"/>
      <c r="D338" s="670"/>
      <c r="E338" s="670"/>
      <c r="F338" s="671"/>
      <c r="G338" s="238"/>
      <c r="H338" s="217"/>
      <c r="I338" s="217"/>
    </row>
    <row r="339" spans="1:9" s="339" customFormat="1" ht="52.2" x14ac:dyDescent="0.3">
      <c r="A339" s="344">
        <v>11</v>
      </c>
      <c r="B339" s="505" t="s">
        <v>97</v>
      </c>
      <c r="C339" s="345" t="s">
        <v>98</v>
      </c>
      <c r="D339" s="345" t="s">
        <v>41</v>
      </c>
      <c r="E339" s="345" t="s">
        <v>42</v>
      </c>
      <c r="F339" s="346" t="s">
        <v>43</v>
      </c>
      <c r="G339" s="338"/>
      <c r="H339" s="251">
        <f t="shared" ref="H339:I342" si="3">H340</f>
        <v>7183.4</v>
      </c>
      <c r="I339" s="251">
        <f t="shared" si="3"/>
        <v>7472.6</v>
      </c>
    </row>
    <row r="340" spans="1:9" s="339" customFormat="1" ht="18" x14ac:dyDescent="0.35">
      <c r="A340" s="329"/>
      <c r="B340" s="493" t="s">
        <v>335</v>
      </c>
      <c r="C340" s="208" t="s">
        <v>98</v>
      </c>
      <c r="D340" s="209" t="s">
        <v>44</v>
      </c>
      <c r="E340" s="209" t="s">
        <v>42</v>
      </c>
      <c r="F340" s="210" t="s">
        <v>43</v>
      </c>
      <c r="G340" s="33"/>
      <c r="H340" s="217">
        <f t="shared" si="3"/>
        <v>7183.4</v>
      </c>
      <c r="I340" s="217">
        <f t="shared" si="3"/>
        <v>7472.6</v>
      </c>
    </row>
    <row r="341" spans="1:9" s="339" customFormat="1" ht="72" x14ac:dyDescent="0.35">
      <c r="A341" s="329"/>
      <c r="B341" s="493" t="s">
        <v>99</v>
      </c>
      <c r="C341" s="208" t="s">
        <v>98</v>
      </c>
      <c r="D341" s="209" t="s">
        <v>44</v>
      </c>
      <c r="E341" s="209" t="s">
        <v>36</v>
      </c>
      <c r="F341" s="210" t="s">
        <v>43</v>
      </c>
      <c r="G341" s="33"/>
      <c r="H341" s="217">
        <f t="shared" si="3"/>
        <v>7183.4</v>
      </c>
      <c r="I341" s="217">
        <f t="shared" si="3"/>
        <v>7472.6</v>
      </c>
    </row>
    <row r="342" spans="1:9" s="339" customFormat="1" ht="72" x14ac:dyDescent="0.35">
      <c r="A342" s="329"/>
      <c r="B342" s="501" t="s">
        <v>100</v>
      </c>
      <c r="C342" s="208" t="s">
        <v>98</v>
      </c>
      <c r="D342" s="209" t="s">
        <v>44</v>
      </c>
      <c r="E342" s="209" t="s">
        <v>36</v>
      </c>
      <c r="F342" s="210" t="s">
        <v>101</v>
      </c>
      <c r="G342" s="33"/>
      <c r="H342" s="217">
        <f t="shared" si="3"/>
        <v>7183.4</v>
      </c>
      <c r="I342" s="217">
        <f t="shared" si="3"/>
        <v>7472.6</v>
      </c>
    </row>
    <row r="343" spans="1:9" ht="36" x14ac:dyDescent="0.35">
      <c r="A343" s="329"/>
      <c r="B343" s="493" t="s">
        <v>53</v>
      </c>
      <c r="C343" s="208" t="s">
        <v>98</v>
      </c>
      <c r="D343" s="209" t="s">
        <v>44</v>
      </c>
      <c r="E343" s="209" t="s">
        <v>36</v>
      </c>
      <c r="F343" s="210" t="s">
        <v>101</v>
      </c>
      <c r="G343" s="33" t="s">
        <v>54</v>
      </c>
      <c r="H343" s="217">
        <f>'прил9 (ведом 25-26)'!M127</f>
        <v>7183.4</v>
      </c>
      <c r="I343" s="217">
        <f>'прил9 (ведом 25-26)'!N127</f>
        <v>7472.6</v>
      </c>
    </row>
    <row r="344" spans="1:9" ht="18" x14ac:dyDescent="0.35">
      <c r="A344" s="329"/>
      <c r="B344" s="493"/>
      <c r="C344" s="209"/>
      <c r="D344" s="209"/>
      <c r="E344" s="209"/>
      <c r="F344" s="210"/>
      <c r="G344" s="33"/>
      <c r="H344" s="217"/>
      <c r="I344" s="217"/>
    </row>
    <row r="345" spans="1:9" ht="52.2" x14ac:dyDescent="0.3">
      <c r="A345" s="344">
        <v>12</v>
      </c>
      <c r="B345" s="541" t="s">
        <v>105</v>
      </c>
      <c r="C345" s="388" t="s">
        <v>69</v>
      </c>
      <c r="D345" s="389" t="s">
        <v>41</v>
      </c>
      <c r="E345" s="389" t="s">
        <v>42</v>
      </c>
      <c r="F345" s="390" t="s">
        <v>43</v>
      </c>
      <c r="G345" s="153"/>
      <c r="H345" s="251">
        <f>H350+H346</f>
        <v>1076.0999999999999</v>
      </c>
      <c r="I345" s="251">
        <f>I350+I346</f>
        <v>1076.0999999999999</v>
      </c>
    </row>
    <row r="346" spans="1:9" ht="36" x14ac:dyDescent="0.35">
      <c r="A346" s="344"/>
      <c r="B346" s="510" t="s">
        <v>106</v>
      </c>
      <c r="C346" s="208" t="s">
        <v>69</v>
      </c>
      <c r="D346" s="209" t="s">
        <v>44</v>
      </c>
      <c r="E346" s="209" t="s">
        <v>42</v>
      </c>
      <c r="F346" s="210" t="s">
        <v>43</v>
      </c>
      <c r="G346" s="33"/>
      <c r="H346" s="217">
        <f t="shared" ref="H346:I348" si="4">H347</f>
        <v>350</v>
      </c>
      <c r="I346" s="217">
        <f t="shared" si="4"/>
        <v>350</v>
      </c>
    </row>
    <row r="347" spans="1:9" ht="36" x14ac:dyDescent="0.35">
      <c r="A347" s="344"/>
      <c r="B347" s="494" t="s">
        <v>107</v>
      </c>
      <c r="C347" s="208" t="s">
        <v>69</v>
      </c>
      <c r="D347" s="209" t="s">
        <v>44</v>
      </c>
      <c r="E347" s="209" t="s">
        <v>36</v>
      </c>
      <c r="F347" s="210" t="s">
        <v>43</v>
      </c>
      <c r="G347" s="33"/>
      <c r="H347" s="217">
        <f t="shared" si="4"/>
        <v>350</v>
      </c>
      <c r="I347" s="217">
        <f t="shared" si="4"/>
        <v>350</v>
      </c>
    </row>
    <row r="348" spans="1:9" ht="36" x14ac:dyDescent="0.35">
      <c r="A348" s="344"/>
      <c r="B348" s="510" t="s">
        <v>108</v>
      </c>
      <c r="C348" s="208" t="s">
        <v>69</v>
      </c>
      <c r="D348" s="209" t="s">
        <v>44</v>
      </c>
      <c r="E348" s="209" t="s">
        <v>36</v>
      </c>
      <c r="F348" s="210" t="s">
        <v>109</v>
      </c>
      <c r="G348" s="33"/>
      <c r="H348" s="217">
        <f t="shared" si="4"/>
        <v>350</v>
      </c>
      <c r="I348" s="217">
        <f t="shared" si="4"/>
        <v>350</v>
      </c>
    </row>
    <row r="349" spans="1:9" ht="36" x14ac:dyDescent="0.35">
      <c r="A349" s="344"/>
      <c r="B349" s="494" t="s">
        <v>53</v>
      </c>
      <c r="C349" s="208" t="s">
        <v>69</v>
      </c>
      <c r="D349" s="209" t="s">
        <v>44</v>
      </c>
      <c r="E349" s="209" t="s">
        <v>36</v>
      </c>
      <c r="F349" s="210" t="s">
        <v>109</v>
      </c>
      <c r="G349" s="33" t="s">
        <v>54</v>
      </c>
      <c r="H349" s="217">
        <f>'прил9 (ведом 25-26)'!M133</f>
        <v>350</v>
      </c>
      <c r="I349" s="217">
        <f>'прил9 (ведом 25-26)'!N133</f>
        <v>350</v>
      </c>
    </row>
    <row r="350" spans="1:9" ht="36" x14ac:dyDescent="0.35">
      <c r="A350" s="329"/>
      <c r="B350" s="510" t="s">
        <v>110</v>
      </c>
      <c r="C350" s="208" t="s">
        <v>69</v>
      </c>
      <c r="D350" s="209" t="s">
        <v>87</v>
      </c>
      <c r="E350" s="209" t="s">
        <v>42</v>
      </c>
      <c r="F350" s="210" t="s">
        <v>43</v>
      </c>
      <c r="G350" s="33"/>
      <c r="H350" s="217">
        <f t="shared" ref="H350:I352" si="5">H351</f>
        <v>726.1</v>
      </c>
      <c r="I350" s="217">
        <f t="shared" si="5"/>
        <v>726.1</v>
      </c>
    </row>
    <row r="351" spans="1:9" ht="36" x14ac:dyDescent="0.35">
      <c r="A351" s="329"/>
      <c r="B351" s="510" t="s">
        <v>111</v>
      </c>
      <c r="C351" s="208" t="s">
        <v>69</v>
      </c>
      <c r="D351" s="209" t="s">
        <v>87</v>
      </c>
      <c r="E351" s="209" t="s">
        <v>36</v>
      </c>
      <c r="F351" s="210" t="s">
        <v>43</v>
      </c>
      <c r="G351" s="33"/>
      <c r="H351" s="217">
        <f t="shared" si="5"/>
        <v>726.1</v>
      </c>
      <c r="I351" s="217">
        <f t="shared" si="5"/>
        <v>726.1</v>
      </c>
    </row>
    <row r="352" spans="1:9" ht="72" x14ac:dyDescent="0.35">
      <c r="A352" s="329"/>
      <c r="B352" s="510" t="s">
        <v>112</v>
      </c>
      <c r="C352" s="208" t="s">
        <v>69</v>
      </c>
      <c r="D352" s="209" t="s">
        <v>87</v>
      </c>
      <c r="E352" s="209" t="s">
        <v>36</v>
      </c>
      <c r="F352" s="210" t="s">
        <v>113</v>
      </c>
      <c r="G352" s="33"/>
      <c r="H352" s="217">
        <f t="shared" si="5"/>
        <v>726.1</v>
      </c>
      <c r="I352" s="217">
        <f t="shared" si="5"/>
        <v>726.1</v>
      </c>
    </row>
    <row r="353" spans="1:9" ht="36" x14ac:dyDescent="0.35">
      <c r="A353" s="329"/>
      <c r="B353" s="494" t="s">
        <v>53</v>
      </c>
      <c r="C353" s="208" t="s">
        <v>69</v>
      </c>
      <c r="D353" s="209" t="s">
        <v>87</v>
      </c>
      <c r="E353" s="209" t="s">
        <v>36</v>
      </c>
      <c r="F353" s="210" t="s">
        <v>113</v>
      </c>
      <c r="G353" s="33" t="s">
        <v>54</v>
      </c>
      <c r="H353" s="217">
        <f>'прил9 (ведом 25-26)'!M137</f>
        <v>726.1</v>
      </c>
      <c r="I353" s="217">
        <f>'прил9 (ведом 25-26)'!N137</f>
        <v>726.1</v>
      </c>
    </row>
    <row r="354" spans="1:9" ht="18" x14ac:dyDescent="0.35">
      <c r="A354" s="329"/>
      <c r="B354" s="494"/>
      <c r="C354" s="209"/>
      <c r="D354" s="209"/>
      <c r="E354" s="209"/>
      <c r="F354" s="210"/>
      <c r="G354" s="33"/>
      <c r="H354" s="217"/>
      <c r="I354" s="217"/>
    </row>
    <row r="355" spans="1:9" ht="52.2" x14ac:dyDescent="0.3">
      <c r="A355" s="344">
        <v>13</v>
      </c>
      <c r="B355" s="541" t="s">
        <v>114</v>
      </c>
      <c r="C355" s="388" t="s">
        <v>86</v>
      </c>
      <c r="D355" s="389" t="s">
        <v>41</v>
      </c>
      <c r="E355" s="389" t="s">
        <v>42</v>
      </c>
      <c r="F355" s="390" t="s">
        <v>43</v>
      </c>
      <c r="G355" s="153"/>
      <c r="H355" s="251">
        <f t="shared" ref="H355:I356" si="6">H356</f>
        <v>50</v>
      </c>
      <c r="I355" s="251">
        <f t="shared" si="6"/>
        <v>50</v>
      </c>
    </row>
    <row r="356" spans="1:9" ht="18" x14ac:dyDescent="0.35">
      <c r="A356" s="329"/>
      <c r="B356" s="494" t="s">
        <v>335</v>
      </c>
      <c r="C356" s="208" t="s">
        <v>86</v>
      </c>
      <c r="D356" s="209" t="s">
        <v>44</v>
      </c>
      <c r="E356" s="209" t="s">
        <v>42</v>
      </c>
      <c r="F356" s="210" t="s">
        <v>43</v>
      </c>
      <c r="G356" s="33"/>
      <c r="H356" s="217">
        <f t="shared" si="6"/>
        <v>50</v>
      </c>
      <c r="I356" s="217">
        <f t="shared" si="6"/>
        <v>50</v>
      </c>
    </row>
    <row r="357" spans="1:9" ht="54" x14ac:dyDescent="0.35">
      <c r="A357" s="329"/>
      <c r="B357" s="510" t="s">
        <v>303</v>
      </c>
      <c r="C357" s="208" t="s">
        <v>86</v>
      </c>
      <c r="D357" s="209" t="s">
        <v>44</v>
      </c>
      <c r="E357" s="209" t="s">
        <v>36</v>
      </c>
      <c r="F357" s="210" t="s">
        <v>43</v>
      </c>
      <c r="G357" s="33"/>
      <c r="H357" s="217">
        <f>H358</f>
        <v>50</v>
      </c>
      <c r="I357" s="217">
        <f>I358</f>
        <v>50</v>
      </c>
    </row>
    <row r="358" spans="1:9" ht="54" x14ac:dyDescent="0.35">
      <c r="A358" s="329"/>
      <c r="B358" s="510" t="s">
        <v>115</v>
      </c>
      <c r="C358" s="208" t="s">
        <v>86</v>
      </c>
      <c r="D358" s="209" t="s">
        <v>44</v>
      </c>
      <c r="E358" s="209" t="s">
        <v>36</v>
      </c>
      <c r="F358" s="210" t="s">
        <v>116</v>
      </c>
      <c r="G358" s="33"/>
      <c r="H358" s="217">
        <f>H359</f>
        <v>50</v>
      </c>
      <c r="I358" s="217">
        <f>I359</f>
        <v>50</v>
      </c>
    </row>
    <row r="359" spans="1:9" ht="36" x14ac:dyDescent="0.35">
      <c r="A359" s="329"/>
      <c r="B359" s="494" t="s">
        <v>53</v>
      </c>
      <c r="C359" s="208" t="s">
        <v>86</v>
      </c>
      <c r="D359" s="209" t="s">
        <v>44</v>
      </c>
      <c r="E359" s="209" t="s">
        <v>36</v>
      </c>
      <c r="F359" s="210" t="s">
        <v>116</v>
      </c>
      <c r="G359" s="33" t="s">
        <v>54</v>
      </c>
      <c r="H359" s="217">
        <f>'прил9 (ведом 25-26)'!M142</f>
        <v>50</v>
      </c>
      <c r="I359" s="217">
        <f>'прил9 (ведом 25-26)'!N142</f>
        <v>50</v>
      </c>
    </row>
    <row r="360" spans="1:9" ht="18" x14ac:dyDescent="0.35">
      <c r="A360" s="329"/>
      <c r="B360" s="494"/>
      <c r="C360" s="209"/>
      <c r="D360" s="209"/>
      <c r="E360" s="209"/>
      <c r="F360" s="210"/>
      <c r="G360" s="33"/>
      <c r="H360" s="217"/>
      <c r="I360" s="217"/>
    </row>
    <row r="361" spans="1:9" ht="69.599999999999994" x14ac:dyDescent="0.3">
      <c r="A361" s="344">
        <v>14</v>
      </c>
      <c r="B361" s="505" t="s">
        <v>70</v>
      </c>
      <c r="C361" s="345" t="s">
        <v>71</v>
      </c>
      <c r="D361" s="345" t="s">
        <v>41</v>
      </c>
      <c r="E361" s="345" t="s">
        <v>42</v>
      </c>
      <c r="F361" s="346" t="s">
        <v>43</v>
      </c>
      <c r="G361" s="338"/>
      <c r="H361" s="251">
        <f t="shared" ref="H361:I364" si="7">H362</f>
        <v>1690.3000000000002</v>
      </c>
      <c r="I361" s="251">
        <f t="shared" si="7"/>
        <v>1690.3000000000002</v>
      </c>
    </row>
    <row r="362" spans="1:9" ht="18" x14ac:dyDescent="0.35">
      <c r="A362" s="329"/>
      <c r="B362" s="493" t="s">
        <v>335</v>
      </c>
      <c r="C362" s="208" t="s">
        <v>71</v>
      </c>
      <c r="D362" s="209" t="s">
        <v>44</v>
      </c>
      <c r="E362" s="209" t="s">
        <v>42</v>
      </c>
      <c r="F362" s="210" t="s">
        <v>43</v>
      </c>
      <c r="G362" s="33"/>
      <c r="H362" s="217">
        <f t="shared" si="7"/>
        <v>1690.3000000000002</v>
      </c>
      <c r="I362" s="217">
        <f t="shared" si="7"/>
        <v>1690.3000000000002</v>
      </c>
    </row>
    <row r="363" spans="1:9" ht="36" x14ac:dyDescent="0.35">
      <c r="A363" s="329"/>
      <c r="B363" s="509" t="s">
        <v>262</v>
      </c>
      <c r="C363" s="208" t="s">
        <v>71</v>
      </c>
      <c r="D363" s="209" t="s">
        <v>44</v>
      </c>
      <c r="E363" s="209" t="s">
        <v>36</v>
      </c>
      <c r="F363" s="210" t="s">
        <v>43</v>
      </c>
      <c r="G363" s="33"/>
      <c r="H363" s="217">
        <f t="shared" si="7"/>
        <v>1690.3000000000002</v>
      </c>
      <c r="I363" s="217">
        <f t="shared" si="7"/>
        <v>1690.3000000000002</v>
      </c>
    </row>
    <row r="364" spans="1:9" ht="36" x14ac:dyDescent="0.35">
      <c r="A364" s="329"/>
      <c r="B364" s="509" t="s">
        <v>72</v>
      </c>
      <c r="C364" s="208" t="s">
        <v>71</v>
      </c>
      <c r="D364" s="209" t="s">
        <v>44</v>
      </c>
      <c r="E364" s="209" t="s">
        <v>36</v>
      </c>
      <c r="F364" s="210" t="s">
        <v>73</v>
      </c>
      <c r="G364" s="33"/>
      <c r="H364" s="217">
        <f t="shared" si="7"/>
        <v>1690.3000000000002</v>
      </c>
      <c r="I364" s="217">
        <f t="shared" si="7"/>
        <v>1690.3000000000002</v>
      </c>
    </row>
    <row r="365" spans="1:9" ht="36" x14ac:dyDescent="0.35">
      <c r="A365" s="329"/>
      <c r="B365" s="496" t="s">
        <v>74</v>
      </c>
      <c r="C365" s="208" t="s">
        <v>71</v>
      </c>
      <c r="D365" s="209" t="s">
        <v>44</v>
      </c>
      <c r="E365" s="209" t="s">
        <v>36</v>
      </c>
      <c r="F365" s="210" t="s">
        <v>73</v>
      </c>
      <c r="G365" s="33" t="s">
        <v>75</v>
      </c>
      <c r="H365" s="217">
        <f>'прил9 (ведом 25-26)'!M64+'прил9 (ведом 25-26)'!M162</f>
        <v>1690.3000000000002</v>
      </c>
      <c r="I365" s="217">
        <f>'прил9 (ведом 25-26)'!N64+'прил9 (ведом 25-26)'!N162</f>
        <v>1690.3000000000002</v>
      </c>
    </row>
    <row r="366" spans="1:9" ht="18" x14ac:dyDescent="0.35">
      <c r="A366" s="329"/>
      <c r="B366" s="500"/>
      <c r="C366" s="670"/>
      <c r="D366" s="670"/>
      <c r="E366" s="670"/>
      <c r="F366" s="671"/>
      <c r="G366" s="238"/>
      <c r="H366" s="217"/>
      <c r="I366" s="217"/>
    </row>
    <row r="367" spans="1:9" s="339" customFormat="1" ht="52.2" x14ac:dyDescent="0.3">
      <c r="A367" s="344">
        <v>15</v>
      </c>
      <c r="B367" s="505" t="s">
        <v>39</v>
      </c>
      <c r="C367" s="345" t="s">
        <v>40</v>
      </c>
      <c r="D367" s="345" t="s">
        <v>41</v>
      </c>
      <c r="E367" s="345" t="s">
        <v>42</v>
      </c>
      <c r="F367" s="346" t="s">
        <v>43</v>
      </c>
      <c r="G367" s="338"/>
      <c r="H367" s="251">
        <f>H368</f>
        <v>151730.9</v>
      </c>
      <c r="I367" s="251">
        <f>I368</f>
        <v>152646.39999999999</v>
      </c>
    </row>
    <row r="368" spans="1:9" s="339" customFormat="1" ht="18" x14ac:dyDescent="0.35">
      <c r="A368" s="329"/>
      <c r="B368" s="493" t="s">
        <v>335</v>
      </c>
      <c r="C368" s="208" t="s">
        <v>40</v>
      </c>
      <c r="D368" s="209" t="s">
        <v>44</v>
      </c>
      <c r="E368" s="209" t="s">
        <v>42</v>
      </c>
      <c r="F368" s="210" t="s">
        <v>43</v>
      </c>
      <c r="G368" s="33"/>
      <c r="H368" s="217">
        <f>H369+H372+H402+H391+H397+H406</f>
        <v>151730.9</v>
      </c>
      <c r="I368" s="217">
        <f>I369+I372+I402+I391+I397+I406</f>
        <v>152646.39999999999</v>
      </c>
    </row>
    <row r="369" spans="1:9" s="339" customFormat="1" ht="36" x14ac:dyDescent="0.35">
      <c r="A369" s="329"/>
      <c r="B369" s="493" t="s">
        <v>45</v>
      </c>
      <c r="C369" s="208" t="s">
        <v>40</v>
      </c>
      <c r="D369" s="209" t="s">
        <v>44</v>
      </c>
      <c r="E369" s="209" t="s">
        <v>36</v>
      </c>
      <c r="F369" s="210" t="s">
        <v>43</v>
      </c>
      <c r="G369" s="33"/>
      <c r="H369" s="217">
        <f>H370</f>
        <v>2716.7</v>
      </c>
      <c r="I369" s="217">
        <f>I370</f>
        <v>2716.7</v>
      </c>
    </row>
    <row r="370" spans="1:9" s="339" customFormat="1" ht="36" x14ac:dyDescent="0.35">
      <c r="A370" s="329"/>
      <c r="B370" s="493" t="s">
        <v>46</v>
      </c>
      <c r="C370" s="208" t="s">
        <v>40</v>
      </c>
      <c r="D370" s="209" t="s">
        <v>44</v>
      </c>
      <c r="E370" s="209" t="s">
        <v>36</v>
      </c>
      <c r="F370" s="210" t="s">
        <v>47</v>
      </c>
      <c r="G370" s="33"/>
      <c r="H370" s="217">
        <f>H371</f>
        <v>2716.7</v>
      </c>
      <c r="I370" s="217">
        <f>I371</f>
        <v>2716.7</v>
      </c>
    </row>
    <row r="371" spans="1:9" s="339" customFormat="1" ht="90" x14ac:dyDescent="0.35">
      <c r="A371" s="329"/>
      <c r="B371" s="493" t="s">
        <v>48</v>
      </c>
      <c r="C371" s="208" t="s">
        <v>40</v>
      </c>
      <c r="D371" s="209" t="s">
        <v>44</v>
      </c>
      <c r="E371" s="209" t="s">
        <v>36</v>
      </c>
      <c r="F371" s="210" t="s">
        <v>47</v>
      </c>
      <c r="G371" s="33" t="s">
        <v>49</v>
      </c>
      <c r="H371" s="217">
        <f>'прил9 (ведом 25-26)'!M24</f>
        <v>2716.7</v>
      </c>
      <c r="I371" s="217">
        <f>'прил9 (ведом 25-26)'!N24</f>
        <v>2716.7</v>
      </c>
    </row>
    <row r="372" spans="1:9" s="339" customFormat="1" ht="36" x14ac:dyDescent="0.35">
      <c r="A372" s="329"/>
      <c r="B372" s="493" t="s">
        <v>52</v>
      </c>
      <c r="C372" s="208" t="s">
        <v>40</v>
      </c>
      <c r="D372" s="209" t="s">
        <v>44</v>
      </c>
      <c r="E372" s="209" t="s">
        <v>38</v>
      </c>
      <c r="F372" s="210" t="s">
        <v>43</v>
      </c>
      <c r="G372" s="33"/>
      <c r="H372" s="217">
        <f>H373+H379+H381+H383+H377+H386+H389</f>
        <v>87898.4</v>
      </c>
      <c r="I372" s="217">
        <f>I373+I379+I381+I383+I377+I386+I389</f>
        <v>88739.4</v>
      </c>
    </row>
    <row r="373" spans="1:9" s="339" customFormat="1" ht="36" x14ac:dyDescent="0.35">
      <c r="A373" s="329"/>
      <c r="B373" s="493" t="s">
        <v>46</v>
      </c>
      <c r="C373" s="208" t="s">
        <v>40</v>
      </c>
      <c r="D373" s="209" t="s">
        <v>44</v>
      </c>
      <c r="E373" s="209" t="s">
        <v>38</v>
      </c>
      <c r="F373" s="210" t="s">
        <v>47</v>
      </c>
      <c r="G373" s="33"/>
      <c r="H373" s="217">
        <f>SUM(H374:H376)</f>
        <v>82057.5</v>
      </c>
      <c r="I373" s="217">
        <f>SUM(I374:I376)</f>
        <v>82057.5</v>
      </c>
    </row>
    <row r="374" spans="1:9" s="339" customFormat="1" ht="90" x14ac:dyDescent="0.35">
      <c r="A374" s="329"/>
      <c r="B374" s="493" t="s">
        <v>48</v>
      </c>
      <c r="C374" s="208" t="s">
        <v>40</v>
      </c>
      <c r="D374" s="209" t="s">
        <v>44</v>
      </c>
      <c r="E374" s="209" t="s">
        <v>38</v>
      </c>
      <c r="F374" s="210" t="s">
        <v>47</v>
      </c>
      <c r="G374" s="33" t="s">
        <v>49</v>
      </c>
      <c r="H374" s="217">
        <f>'прил9 (ведом 25-26)'!M30</f>
        <v>81048.399999999994</v>
      </c>
      <c r="I374" s="217">
        <f>'прил9 (ведом 25-26)'!N30</f>
        <v>81048.399999999994</v>
      </c>
    </row>
    <row r="375" spans="1:9" ht="36" x14ac:dyDescent="0.35">
      <c r="A375" s="329"/>
      <c r="B375" s="493" t="s">
        <v>53</v>
      </c>
      <c r="C375" s="208" t="s">
        <v>40</v>
      </c>
      <c r="D375" s="209" t="s">
        <v>44</v>
      </c>
      <c r="E375" s="209" t="s">
        <v>38</v>
      </c>
      <c r="F375" s="210" t="s">
        <v>47</v>
      </c>
      <c r="G375" s="33" t="s">
        <v>54</v>
      </c>
      <c r="H375" s="217">
        <f>'прил9 (ведом 25-26)'!M31</f>
        <v>948.8</v>
      </c>
      <c r="I375" s="217">
        <f>'прил9 (ведом 25-26)'!N31</f>
        <v>948.8</v>
      </c>
    </row>
    <row r="376" spans="1:9" ht="18" x14ac:dyDescent="0.35">
      <c r="A376" s="329"/>
      <c r="B376" s="494" t="s">
        <v>55</v>
      </c>
      <c r="C376" s="208" t="s">
        <v>40</v>
      </c>
      <c r="D376" s="209" t="s">
        <v>44</v>
      </c>
      <c r="E376" s="209" t="s">
        <v>38</v>
      </c>
      <c r="F376" s="210" t="s">
        <v>47</v>
      </c>
      <c r="G376" s="33" t="s">
        <v>56</v>
      </c>
      <c r="H376" s="217">
        <f>'прил9 (ведом 25-26)'!M32</f>
        <v>60.3</v>
      </c>
      <c r="I376" s="217">
        <f>'прил9 (ведом 25-26)'!N32</f>
        <v>60.3</v>
      </c>
    </row>
    <row r="377" spans="1:9" s="339" customFormat="1" ht="72" x14ac:dyDescent="0.35">
      <c r="A377" s="329"/>
      <c r="B377" s="494" t="s">
        <v>381</v>
      </c>
      <c r="C377" s="208" t="s">
        <v>40</v>
      </c>
      <c r="D377" s="209" t="s">
        <v>44</v>
      </c>
      <c r="E377" s="209" t="s">
        <v>38</v>
      </c>
      <c r="F377" s="210" t="s">
        <v>380</v>
      </c>
      <c r="G377" s="33"/>
      <c r="H377" s="217">
        <f>H378</f>
        <v>8.9</v>
      </c>
      <c r="I377" s="217">
        <f>I378</f>
        <v>85.9</v>
      </c>
    </row>
    <row r="378" spans="1:9" s="339" customFormat="1" ht="36" x14ac:dyDescent="0.35">
      <c r="A378" s="329"/>
      <c r="B378" s="494" t="s">
        <v>53</v>
      </c>
      <c r="C378" s="208" t="s">
        <v>40</v>
      </c>
      <c r="D378" s="209" t="s">
        <v>44</v>
      </c>
      <c r="E378" s="209" t="s">
        <v>38</v>
      </c>
      <c r="F378" s="210" t="s">
        <v>380</v>
      </c>
      <c r="G378" s="33" t="s">
        <v>54</v>
      </c>
      <c r="H378" s="217">
        <f>'прил9 (ведом 25-26)'!M48</f>
        <v>8.9</v>
      </c>
      <c r="I378" s="217">
        <f>'прил9 (ведом 25-26)'!N48</f>
        <v>85.9</v>
      </c>
    </row>
    <row r="379" spans="1:9" ht="180" x14ac:dyDescent="0.35">
      <c r="A379" s="329"/>
      <c r="B379" s="493" t="s">
        <v>591</v>
      </c>
      <c r="C379" s="208" t="s">
        <v>40</v>
      </c>
      <c r="D379" s="209" t="s">
        <v>44</v>
      </c>
      <c r="E379" s="209" t="s">
        <v>38</v>
      </c>
      <c r="F379" s="210" t="s">
        <v>261</v>
      </c>
      <c r="G379" s="33"/>
      <c r="H379" s="217">
        <f>H380</f>
        <v>63</v>
      </c>
      <c r="I379" s="217">
        <f>I380</f>
        <v>63</v>
      </c>
    </row>
    <row r="380" spans="1:9" ht="36" x14ac:dyDescent="0.35">
      <c r="A380" s="329"/>
      <c r="B380" s="493" t="s">
        <v>53</v>
      </c>
      <c r="C380" s="208" t="s">
        <v>40</v>
      </c>
      <c r="D380" s="209" t="s">
        <v>44</v>
      </c>
      <c r="E380" s="209" t="s">
        <v>38</v>
      </c>
      <c r="F380" s="210" t="s">
        <v>261</v>
      </c>
      <c r="G380" s="33" t="s">
        <v>54</v>
      </c>
      <c r="H380" s="217">
        <f>'прил9 (ведом 25-26)'!M34</f>
        <v>63</v>
      </c>
      <c r="I380" s="217">
        <f>'прил9 (ведом 25-26)'!N34</f>
        <v>63</v>
      </c>
    </row>
    <row r="381" spans="1:9" ht="162" x14ac:dyDescent="0.35">
      <c r="A381" s="329"/>
      <c r="B381" s="528" t="s">
        <v>442</v>
      </c>
      <c r="C381" s="208" t="s">
        <v>40</v>
      </c>
      <c r="D381" s="209" t="s">
        <v>44</v>
      </c>
      <c r="E381" s="209" t="s">
        <v>38</v>
      </c>
      <c r="F381" s="210" t="s">
        <v>57</v>
      </c>
      <c r="G381" s="33"/>
      <c r="H381" s="217">
        <f>H382</f>
        <v>775.8</v>
      </c>
      <c r="I381" s="217">
        <f>I382</f>
        <v>775.8</v>
      </c>
    </row>
    <row r="382" spans="1:9" ht="90" x14ac:dyDescent="0.35">
      <c r="A382" s="329"/>
      <c r="B382" s="494" t="s">
        <v>48</v>
      </c>
      <c r="C382" s="208" t="s">
        <v>40</v>
      </c>
      <c r="D382" s="209" t="s">
        <v>44</v>
      </c>
      <c r="E382" s="209" t="s">
        <v>38</v>
      </c>
      <c r="F382" s="210" t="s">
        <v>57</v>
      </c>
      <c r="G382" s="33" t="s">
        <v>49</v>
      </c>
      <c r="H382" s="217">
        <f>'прил9 (ведом 25-26)'!M36</f>
        <v>775.8</v>
      </c>
      <c r="I382" s="217">
        <f>'прил9 (ведом 25-26)'!N36</f>
        <v>775.8</v>
      </c>
    </row>
    <row r="383" spans="1:9" ht="54" x14ac:dyDescent="0.35">
      <c r="A383" s="329"/>
      <c r="B383" s="494" t="s">
        <v>404</v>
      </c>
      <c r="C383" s="208" t="s">
        <v>40</v>
      </c>
      <c r="D383" s="209" t="s">
        <v>44</v>
      </c>
      <c r="E383" s="209" t="s">
        <v>38</v>
      </c>
      <c r="F383" s="210" t="s">
        <v>59</v>
      </c>
      <c r="G383" s="33"/>
      <c r="H383" s="217">
        <f>H384+H385</f>
        <v>776</v>
      </c>
      <c r="I383" s="217">
        <f>I384+I385</f>
        <v>776</v>
      </c>
    </row>
    <row r="384" spans="1:9" ht="90" x14ac:dyDescent="0.35">
      <c r="A384" s="329"/>
      <c r="B384" s="494" t="s">
        <v>48</v>
      </c>
      <c r="C384" s="208" t="s">
        <v>40</v>
      </c>
      <c r="D384" s="209" t="s">
        <v>44</v>
      </c>
      <c r="E384" s="209" t="s">
        <v>38</v>
      </c>
      <c r="F384" s="210" t="s">
        <v>59</v>
      </c>
      <c r="G384" s="33" t="s">
        <v>49</v>
      </c>
      <c r="H384" s="217">
        <f>'прил9 (ведом 25-26)'!M38</f>
        <v>771.8</v>
      </c>
      <c r="I384" s="217">
        <f>'прил9 (ведом 25-26)'!N38</f>
        <v>771.8</v>
      </c>
    </row>
    <row r="385" spans="1:9" ht="36" x14ac:dyDescent="0.35">
      <c r="A385" s="329"/>
      <c r="B385" s="493" t="s">
        <v>53</v>
      </c>
      <c r="C385" s="208" t="s">
        <v>40</v>
      </c>
      <c r="D385" s="209" t="s">
        <v>44</v>
      </c>
      <c r="E385" s="209" t="s">
        <v>38</v>
      </c>
      <c r="F385" s="210" t="s">
        <v>59</v>
      </c>
      <c r="G385" s="33" t="s">
        <v>54</v>
      </c>
      <c r="H385" s="217">
        <f>'прил9 (ведом 25-26)'!M39</f>
        <v>4.2</v>
      </c>
      <c r="I385" s="217">
        <f>'прил9 (ведом 25-26)'!N39</f>
        <v>4.2</v>
      </c>
    </row>
    <row r="386" spans="1:9" ht="72" x14ac:dyDescent="0.35">
      <c r="A386" s="329"/>
      <c r="B386" s="493" t="s">
        <v>58</v>
      </c>
      <c r="C386" s="208" t="s">
        <v>40</v>
      </c>
      <c r="D386" s="209" t="s">
        <v>44</v>
      </c>
      <c r="E386" s="209" t="s">
        <v>38</v>
      </c>
      <c r="F386" s="210" t="s">
        <v>497</v>
      </c>
      <c r="G386" s="33"/>
      <c r="H386" s="217">
        <f>H387+H388</f>
        <v>4217.2</v>
      </c>
      <c r="I386" s="217">
        <f>I387+I388</f>
        <v>4217.2</v>
      </c>
    </row>
    <row r="387" spans="1:9" ht="90" x14ac:dyDescent="0.35">
      <c r="A387" s="329"/>
      <c r="B387" s="493" t="s">
        <v>48</v>
      </c>
      <c r="C387" s="208" t="s">
        <v>40</v>
      </c>
      <c r="D387" s="209" t="s">
        <v>44</v>
      </c>
      <c r="E387" s="209" t="s">
        <v>38</v>
      </c>
      <c r="F387" s="210" t="s">
        <v>497</v>
      </c>
      <c r="G387" s="33" t="s">
        <v>49</v>
      </c>
      <c r="H387" s="217">
        <f>'прил9 (ведом 25-26)'!M41</f>
        <v>4142.2</v>
      </c>
      <c r="I387" s="217">
        <f>'прил9 (ведом 25-26)'!N41</f>
        <v>4142.2</v>
      </c>
    </row>
    <row r="388" spans="1:9" ht="36" x14ac:dyDescent="0.35">
      <c r="A388" s="329"/>
      <c r="B388" s="493" t="s">
        <v>53</v>
      </c>
      <c r="C388" s="209" t="s">
        <v>40</v>
      </c>
      <c r="D388" s="209" t="s">
        <v>44</v>
      </c>
      <c r="E388" s="209" t="s">
        <v>38</v>
      </c>
      <c r="F388" s="210" t="s">
        <v>497</v>
      </c>
      <c r="G388" s="33" t="s">
        <v>54</v>
      </c>
      <c r="H388" s="217">
        <f>'прил9 (ведом 25-26)'!M42</f>
        <v>75</v>
      </c>
      <c r="I388" s="217">
        <f>'прил9 (ведом 25-26)'!N42</f>
        <v>75</v>
      </c>
    </row>
    <row r="389" spans="1:9" ht="18" x14ac:dyDescent="0.35">
      <c r="A389" s="329"/>
      <c r="B389" s="497" t="s">
        <v>626</v>
      </c>
      <c r="C389" s="676" t="s">
        <v>40</v>
      </c>
      <c r="D389" s="677" t="s">
        <v>44</v>
      </c>
      <c r="E389" s="677" t="s">
        <v>38</v>
      </c>
      <c r="F389" s="678" t="s">
        <v>579</v>
      </c>
      <c r="G389" s="15"/>
      <c r="H389" s="217">
        <f>H390</f>
        <v>0</v>
      </c>
      <c r="I389" s="217">
        <f>I390</f>
        <v>764</v>
      </c>
    </row>
    <row r="390" spans="1:9" ht="36" x14ac:dyDescent="0.35">
      <c r="A390" s="329"/>
      <c r="B390" s="497" t="s">
        <v>53</v>
      </c>
      <c r="C390" s="676" t="s">
        <v>40</v>
      </c>
      <c r="D390" s="677" t="s">
        <v>44</v>
      </c>
      <c r="E390" s="677" t="s">
        <v>38</v>
      </c>
      <c r="F390" s="678" t="s">
        <v>579</v>
      </c>
      <c r="G390" s="15" t="s">
        <v>54</v>
      </c>
      <c r="H390" s="217">
        <f>'прил9 (ведом 25-26)'!M69</f>
        <v>0</v>
      </c>
      <c r="I390" s="217">
        <f>'прил9 (ведом 25-26)'!N69</f>
        <v>764</v>
      </c>
    </row>
    <row r="391" spans="1:9" ht="18" x14ac:dyDescent="0.35">
      <c r="A391" s="329"/>
      <c r="B391" s="494" t="s">
        <v>60</v>
      </c>
      <c r="C391" s="208" t="s">
        <v>40</v>
      </c>
      <c r="D391" s="209" t="s">
        <v>44</v>
      </c>
      <c r="E391" s="209" t="s">
        <v>61</v>
      </c>
      <c r="F391" s="210" t="s">
        <v>43</v>
      </c>
      <c r="G391" s="33"/>
      <c r="H391" s="217">
        <f>H394+H392</f>
        <v>2409.8000000000002</v>
      </c>
      <c r="I391" s="217">
        <f>I394+I392</f>
        <v>2386.8000000000002</v>
      </c>
    </row>
    <row r="392" spans="1:9" ht="36" x14ac:dyDescent="0.35">
      <c r="A392" s="329"/>
      <c r="B392" s="497" t="s">
        <v>496</v>
      </c>
      <c r="C392" s="676" t="s">
        <v>40</v>
      </c>
      <c r="D392" s="677" t="s">
        <v>44</v>
      </c>
      <c r="E392" s="677" t="s">
        <v>61</v>
      </c>
      <c r="F392" s="678" t="s">
        <v>495</v>
      </c>
      <c r="G392" s="15"/>
      <c r="H392" s="217">
        <f>H393</f>
        <v>64.3</v>
      </c>
      <c r="I392" s="217">
        <f>I393</f>
        <v>64.3</v>
      </c>
    </row>
    <row r="393" spans="1:9" ht="36" x14ac:dyDescent="0.35">
      <c r="A393" s="329"/>
      <c r="B393" s="497" t="s">
        <v>53</v>
      </c>
      <c r="C393" s="676" t="s">
        <v>40</v>
      </c>
      <c r="D393" s="677" t="s">
        <v>44</v>
      </c>
      <c r="E393" s="677" t="s">
        <v>61</v>
      </c>
      <c r="F393" s="678" t="s">
        <v>495</v>
      </c>
      <c r="G393" s="15" t="s">
        <v>54</v>
      </c>
      <c r="H393" s="217">
        <f>'прил9 (ведом 25-26)'!M149</f>
        <v>64.3</v>
      </c>
      <c r="I393" s="217">
        <f>'прил9 (ведом 25-26)'!N149</f>
        <v>64.3</v>
      </c>
    </row>
    <row r="394" spans="1:9" ht="54" x14ac:dyDescent="0.35">
      <c r="A394" s="329"/>
      <c r="B394" s="502" t="s">
        <v>375</v>
      </c>
      <c r="C394" s="208" t="s">
        <v>40</v>
      </c>
      <c r="D394" s="209" t="s">
        <v>44</v>
      </c>
      <c r="E394" s="209" t="s">
        <v>61</v>
      </c>
      <c r="F394" s="210" t="s">
        <v>374</v>
      </c>
      <c r="G394" s="33"/>
      <c r="H394" s="217">
        <f>H395+H396</f>
        <v>2345.5</v>
      </c>
      <c r="I394" s="217">
        <f>I395+I396</f>
        <v>2322.5</v>
      </c>
    </row>
    <row r="395" spans="1:9" ht="36" x14ac:dyDescent="0.35">
      <c r="A395" s="329"/>
      <c r="B395" s="494" t="s">
        <v>53</v>
      </c>
      <c r="C395" s="208" t="s">
        <v>40</v>
      </c>
      <c r="D395" s="209" t="s">
        <v>44</v>
      </c>
      <c r="E395" s="209" t="s">
        <v>61</v>
      </c>
      <c r="F395" s="210" t="s">
        <v>374</v>
      </c>
      <c r="G395" s="33" t="s">
        <v>54</v>
      </c>
      <c r="H395" s="217">
        <f>'прил9 (ведом 25-26)'!M72</f>
        <v>2121.6999999999998</v>
      </c>
      <c r="I395" s="217">
        <f>'прил9 (ведом 25-26)'!N72</f>
        <v>2098.6999999999998</v>
      </c>
    </row>
    <row r="396" spans="1:9" ht="18" x14ac:dyDescent="0.35">
      <c r="A396" s="329"/>
      <c r="B396" s="494" t="s">
        <v>55</v>
      </c>
      <c r="C396" s="208" t="s">
        <v>40</v>
      </c>
      <c r="D396" s="209" t="s">
        <v>44</v>
      </c>
      <c r="E396" s="209" t="s">
        <v>61</v>
      </c>
      <c r="F396" s="210" t="s">
        <v>374</v>
      </c>
      <c r="G396" s="33" t="s">
        <v>56</v>
      </c>
      <c r="H396" s="217">
        <f>'прил9 (ведом 25-26)'!M73</f>
        <v>223.8</v>
      </c>
      <c r="I396" s="217">
        <f>'прил9 (ведом 25-26)'!N73</f>
        <v>223.8</v>
      </c>
    </row>
    <row r="397" spans="1:9" ht="18" x14ac:dyDescent="0.35">
      <c r="A397" s="329"/>
      <c r="B397" s="494" t="s">
        <v>62</v>
      </c>
      <c r="C397" s="208" t="s">
        <v>40</v>
      </c>
      <c r="D397" s="209" t="s">
        <v>44</v>
      </c>
      <c r="E397" s="209" t="s">
        <v>50</v>
      </c>
      <c r="F397" s="210" t="s">
        <v>43</v>
      </c>
      <c r="G397" s="33"/>
      <c r="H397" s="217">
        <f>H398+H400</f>
        <v>5564.6</v>
      </c>
      <c r="I397" s="217">
        <f>I398+I400</f>
        <v>5564.6</v>
      </c>
    </row>
    <row r="398" spans="1:9" ht="54" x14ac:dyDescent="0.35">
      <c r="A398" s="329"/>
      <c r="B398" s="510" t="s">
        <v>348</v>
      </c>
      <c r="C398" s="208" t="s">
        <v>40</v>
      </c>
      <c r="D398" s="209" t="s">
        <v>44</v>
      </c>
      <c r="E398" s="209" t="s">
        <v>50</v>
      </c>
      <c r="F398" s="210" t="s">
        <v>103</v>
      </c>
      <c r="G398" s="33"/>
      <c r="H398" s="217">
        <f>H399</f>
        <v>3475.6</v>
      </c>
      <c r="I398" s="217">
        <f>I399</f>
        <v>3475.6</v>
      </c>
    </row>
    <row r="399" spans="1:9" ht="36" x14ac:dyDescent="0.35">
      <c r="A399" s="329"/>
      <c r="B399" s="494" t="s">
        <v>53</v>
      </c>
      <c r="C399" s="208" t="s">
        <v>40</v>
      </c>
      <c r="D399" s="209" t="s">
        <v>44</v>
      </c>
      <c r="E399" s="209" t="s">
        <v>50</v>
      </c>
      <c r="F399" s="210" t="s">
        <v>103</v>
      </c>
      <c r="G399" s="33" t="s">
        <v>54</v>
      </c>
      <c r="H399" s="217">
        <f>'прил9 (ведом 25-26)'!M76</f>
        <v>3475.6</v>
      </c>
      <c r="I399" s="217">
        <f>'прил9 (ведом 25-26)'!N76</f>
        <v>3475.6</v>
      </c>
    </row>
    <row r="400" spans="1:9" ht="54" x14ac:dyDescent="0.35">
      <c r="A400" s="329"/>
      <c r="B400" s="494" t="s">
        <v>350</v>
      </c>
      <c r="C400" s="208" t="s">
        <v>40</v>
      </c>
      <c r="D400" s="209" t="s">
        <v>44</v>
      </c>
      <c r="E400" s="209" t="s">
        <v>50</v>
      </c>
      <c r="F400" s="210" t="s">
        <v>349</v>
      </c>
      <c r="G400" s="33"/>
      <c r="H400" s="217">
        <f>'прил9 (ведом 25-26)'!M77</f>
        <v>2089</v>
      </c>
      <c r="I400" s="217">
        <f>'прил9 (ведом 25-26)'!N77</f>
        <v>2089</v>
      </c>
    </row>
    <row r="401" spans="1:9" ht="36" x14ac:dyDescent="0.35">
      <c r="A401" s="329"/>
      <c r="B401" s="494" t="s">
        <v>53</v>
      </c>
      <c r="C401" s="208" t="s">
        <v>40</v>
      </c>
      <c r="D401" s="209" t="s">
        <v>44</v>
      </c>
      <c r="E401" s="209" t="s">
        <v>50</v>
      </c>
      <c r="F401" s="210" t="s">
        <v>349</v>
      </c>
      <c r="G401" s="33" t="s">
        <v>54</v>
      </c>
      <c r="H401" s="217">
        <f>'прил9 (ведом 25-26)'!M78</f>
        <v>2089</v>
      </c>
      <c r="I401" s="217">
        <f>'прил9 (ведом 25-26)'!N78</f>
        <v>2089</v>
      </c>
    </row>
    <row r="402" spans="1:9" ht="72" x14ac:dyDescent="0.35">
      <c r="A402" s="354"/>
      <c r="B402" s="516" t="s">
        <v>295</v>
      </c>
      <c r="C402" s="347" t="s">
        <v>40</v>
      </c>
      <c r="D402" s="355" t="s">
        <v>44</v>
      </c>
      <c r="E402" s="355" t="s">
        <v>79</v>
      </c>
      <c r="F402" s="365" t="s">
        <v>43</v>
      </c>
      <c r="G402" s="366"/>
      <c r="H402" s="217">
        <f>H403</f>
        <v>6658.2000000000007</v>
      </c>
      <c r="I402" s="217">
        <f>I403</f>
        <v>6664.0000000000009</v>
      </c>
    </row>
    <row r="403" spans="1:9" ht="36" x14ac:dyDescent="0.35">
      <c r="A403" s="354"/>
      <c r="B403" s="493" t="s">
        <v>454</v>
      </c>
      <c r="C403" s="347" t="s">
        <v>40</v>
      </c>
      <c r="D403" s="355" t="s">
        <v>44</v>
      </c>
      <c r="E403" s="355" t="s">
        <v>79</v>
      </c>
      <c r="F403" s="365" t="s">
        <v>89</v>
      </c>
      <c r="G403" s="366"/>
      <c r="H403" s="217">
        <f>SUM(H404:H405)</f>
        <v>6658.2000000000007</v>
      </c>
      <c r="I403" s="217">
        <f>SUM(I404:I405)</f>
        <v>6664.0000000000009</v>
      </c>
    </row>
    <row r="404" spans="1:9" ht="90" x14ac:dyDescent="0.35">
      <c r="A404" s="354"/>
      <c r="B404" s="516" t="s">
        <v>48</v>
      </c>
      <c r="C404" s="347" t="s">
        <v>40</v>
      </c>
      <c r="D404" s="355" t="s">
        <v>44</v>
      </c>
      <c r="E404" s="355" t="s">
        <v>79</v>
      </c>
      <c r="F404" s="365" t="s">
        <v>89</v>
      </c>
      <c r="G404" s="366" t="s">
        <v>49</v>
      </c>
      <c r="H404" s="217">
        <f>'прил9 (ведом 25-26)'!M242</f>
        <v>6149.9000000000005</v>
      </c>
      <c r="I404" s="217">
        <f>'прил9 (ведом 25-26)'!N242</f>
        <v>6149.9000000000005</v>
      </c>
    </row>
    <row r="405" spans="1:9" ht="36" x14ac:dyDescent="0.35">
      <c r="A405" s="354"/>
      <c r="B405" s="494" t="s">
        <v>53</v>
      </c>
      <c r="C405" s="347" t="s">
        <v>40</v>
      </c>
      <c r="D405" s="355" t="s">
        <v>44</v>
      </c>
      <c r="E405" s="355" t="s">
        <v>79</v>
      </c>
      <c r="F405" s="365" t="s">
        <v>89</v>
      </c>
      <c r="G405" s="366" t="s">
        <v>54</v>
      </c>
      <c r="H405" s="217">
        <f>'прил9 (ведом 25-26)'!M243</f>
        <v>508.3</v>
      </c>
      <c r="I405" s="217">
        <f>'прил9 (ведом 25-26)'!N243</f>
        <v>514.1</v>
      </c>
    </row>
    <row r="406" spans="1:9" ht="90" x14ac:dyDescent="0.35">
      <c r="A406" s="354"/>
      <c r="B406" s="497" t="s">
        <v>528</v>
      </c>
      <c r="C406" s="676" t="s">
        <v>40</v>
      </c>
      <c r="D406" s="677" t="s">
        <v>44</v>
      </c>
      <c r="E406" s="677" t="s">
        <v>526</v>
      </c>
      <c r="F406" s="678" t="s">
        <v>43</v>
      </c>
      <c r="G406" s="15"/>
      <c r="H406" s="217">
        <f>H407</f>
        <v>46483.200000000004</v>
      </c>
      <c r="I406" s="217">
        <f>I407</f>
        <v>46574.9</v>
      </c>
    </row>
    <row r="407" spans="1:9" ht="36" x14ac:dyDescent="0.35">
      <c r="A407" s="354"/>
      <c r="B407" s="529" t="s">
        <v>454</v>
      </c>
      <c r="C407" s="676" t="s">
        <v>40</v>
      </c>
      <c r="D407" s="677" t="s">
        <v>44</v>
      </c>
      <c r="E407" s="677" t="s">
        <v>526</v>
      </c>
      <c r="F407" s="678" t="s">
        <v>89</v>
      </c>
      <c r="G407" s="15"/>
      <c r="H407" s="217">
        <f>H408+H409+H410</f>
        <v>46483.200000000004</v>
      </c>
      <c r="I407" s="217">
        <f>I408+I409+I410</f>
        <v>46574.9</v>
      </c>
    </row>
    <row r="408" spans="1:9" ht="90" x14ac:dyDescent="0.35">
      <c r="A408" s="354"/>
      <c r="B408" s="497" t="s">
        <v>48</v>
      </c>
      <c r="C408" s="676" t="s">
        <v>40</v>
      </c>
      <c r="D408" s="677" t="s">
        <v>44</v>
      </c>
      <c r="E408" s="677" t="s">
        <v>526</v>
      </c>
      <c r="F408" s="678" t="s">
        <v>89</v>
      </c>
      <c r="G408" s="15" t="s">
        <v>49</v>
      </c>
      <c r="H408" s="217">
        <f>'прил9 (ведом 25-26)'!M81</f>
        <v>35688</v>
      </c>
      <c r="I408" s="217">
        <f>'прил9 (ведом 25-26)'!N81</f>
        <v>35688</v>
      </c>
    </row>
    <row r="409" spans="1:9" ht="36" x14ac:dyDescent="0.35">
      <c r="A409" s="354"/>
      <c r="B409" s="497" t="s">
        <v>53</v>
      </c>
      <c r="C409" s="676" t="s">
        <v>40</v>
      </c>
      <c r="D409" s="677" t="s">
        <v>44</v>
      </c>
      <c r="E409" s="677" t="s">
        <v>526</v>
      </c>
      <c r="F409" s="678" t="s">
        <v>89</v>
      </c>
      <c r="G409" s="15" t="s">
        <v>54</v>
      </c>
      <c r="H409" s="217">
        <f>'прил9 (ведом 25-26)'!M82</f>
        <v>10709.3</v>
      </c>
      <c r="I409" s="217">
        <f>'прил9 (ведом 25-26)'!N82</f>
        <v>10802.9</v>
      </c>
    </row>
    <row r="410" spans="1:9" ht="18" x14ac:dyDescent="0.35">
      <c r="A410" s="354"/>
      <c r="B410" s="497" t="s">
        <v>55</v>
      </c>
      <c r="C410" s="676" t="s">
        <v>40</v>
      </c>
      <c r="D410" s="677" t="s">
        <v>44</v>
      </c>
      <c r="E410" s="677" t="s">
        <v>526</v>
      </c>
      <c r="F410" s="678" t="s">
        <v>89</v>
      </c>
      <c r="G410" s="15" t="s">
        <v>56</v>
      </c>
      <c r="H410" s="217">
        <f>'прил9 (ведом 25-26)'!M83</f>
        <v>85.9</v>
      </c>
      <c r="I410" s="217">
        <f>'прил9 (ведом 25-26)'!N83</f>
        <v>84</v>
      </c>
    </row>
    <row r="411" spans="1:9" ht="18" x14ac:dyDescent="0.35">
      <c r="A411" s="354"/>
      <c r="B411" s="494"/>
      <c r="C411" s="209"/>
      <c r="D411" s="209"/>
      <c r="E411" s="209"/>
      <c r="F411" s="210"/>
      <c r="G411" s="33"/>
      <c r="H411" s="217"/>
      <c r="I411" s="217"/>
    </row>
    <row r="412" spans="1:9" ht="18" x14ac:dyDescent="0.35">
      <c r="A412" s="354"/>
      <c r="B412" s="516"/>
      <c r="C412" s="348"/>
      <c r="D412" s="355"/>
      <c r="E412" s="355"/>
      <c r="F412" s="365"/>
      <c r="G412" s="366"/>
      <c r="H412" s="217"/>
      <c r="I412" s="217"/>
    </row>
    <row r="413" spans="1:9" ht="34.799999999999997" x14ac:dyDescent="0.3">
      <c r="A413" s="344">
        <v>16</v>
      </c>
      <c r="B413" s="530" t="s">
        <v>128</v>
      </c>
      <c r="C413" s="345" t="s">
        <v>129</v>
      </c>
      <c r="D413" s="345" t="s">
        <v>41</v>
      </c>
      <c r="E413" s="345" t="s">
        <v>42</v>
      </c>
      <c r="F413" s="345" t="s">
        <v>43</v>
      </c>
      <c r="G413" s="338"/>
      <c r="H413" s="251">
        <f>H414</f>
        <v>7046.2</v>
      </c>
      <c r="I413" s="251">
        <f>I414</f>
        <v>7046.2999999999993</v>
      </c>
    </row>
    <row r="414" spans="1:9" ht="36" x14ac:dyDescent="0.35">
      <c r="A414" s="329"/>
      <c r="B414" s="531" t="s">
        <v>130</v>
      </c>
      <c r="C414" s="208" t="s">
        <v>129</v>
      </c>
      <c r="D414" s="209" t="s">
        <v>44</v>
      </c>
      <c r="E414" s="209" t="s">
        <v>42</v>
      </c>
      <c r="F414" s="210" t="s">
        <v>43</v>
      </c>
      <c r="G414" s="33"/>
      <c r="H414" s="217">
        <f>H415</f>
        <v>7046.2</v>
      </c>
      <c r="I414" s="217">
        <f>I415</f>
        <v>7046.2999999999993</v>
      </c>
    </row>
    <row r="415" spans="1:9" ht="36" x14ac:dyDescent="0.35">
      <c r="A415" s="329"/>
      <c r="B415" s="493" t="s">
        <v>46</v>
      </c>
      <c r="C415" s="208" t="s">
        <v>129</v>
      </c>
      <c r="D415" s="209" t="s">
        <v>44</v>
      </c>
      <c r="E415" s="209" t="s">
        <v>42</v>
      </c>
      <c r="F415" s="210" t="s">
        <v>47</v>
      </c>
      <c r="G415" s="33"/>
      <c r="H415" s="217">
        <f>H416+H417+H418</f>
        <v>7046.2</v>
      </c>
      <c r="I415" s="217">
        <f>I416+I417+I418</f>
        <v>7046.2999999999993</v>
      </c>
    </row>
    <row r="416" spans="1:9" ht="90" x14ac:dyDescent="0.35">
      <c r="A416" s="329"/>
      <c r="B416" s="509" t="s">
        <v>48</v>
      </c>
      <c r="C416" s="208" t="s">
        <v>129</v>
      </c>
      <c r="D416" s="209" t="s">
        <v>44</v>
      </c>
      <c r="E416" s="209" t="s">
        <v>42</v>
      </c>
      <c r="F416" s="210" t="s">
        <v>47</v>
      </c>
      <c r="G416" s="33" t="s">
        <v>49</v>
      </c>
      <c r="H416" s="217">
        <f>'прил9 (ведом 25-26)'!M204</f>
        <v>6810.5999999999995</v>
      </c>
      <c r="I416" s="217">
        <f>'прил9 (ведом 25-26)'!N204</f>
        <v>6810.5999999999995</v>
      </c>
    </row>
    <row r="417" spans="1:9" ht="36" x14ac:dyDescent="0.35">
      <c r="A417" s="329"/>
      <c r="B417" s="494" t="s">
        <v>53</v>
      </c>
      <c r="C417" s="208" t="s">
        <v>129</v>
      </c>
      <c r="D417" s="209" t="s">
        <v>44</v>
      </c>
      <c r="E417" s="209" t="s">
        <v>42</v>
      </c>
      <c r="F417" s="210" t="s">
        <v>47</v>
      </c>
      <c r="G417" s="33" t="s">
        <v>54</v>
      </c>
      <c r="H417" s="217">
        <f>'прил9 (ведом 25-26)'!M205</f>
        <v>216.6</v>
      </c>
      <c r="I417" s="217">
        <f>'прил9 (ведом 25-26)'!N205</f>
        <v>216.7</v>
      </c>
    </row>
    <row r="418" spans="1:9" ht="18" x14ac:dyDescent="0.35">
      <c r="A418" s="329"/>
      <c r="B418" s="494" t="s">
        <v>55</v>
      </c>
      <c r="C418" s="208" t="s">
        <v>129</v>
      </c>
      <c r="D418" s="209" t="s">
        <v>44</v>
      </c>
      <c r="E418" s="209" t="s">
        <v>42</v>
      </c>
      <c r="F418" s="210" t="s">
        <v>47</v>
      </c>
      <c r="G418" s="33" t="s">
        <v>56</v>
      </c>
      <c r="H418" s="217">
        <f>'прил9 (ведом 25-26)'!M206</f>
        <v>19</v>
      </c>
      <c r="I418" s="217">
        <f>'прил9 (ведом 25-26)'!N206</f>
        <v>19</v>
      </c>
    </row>
    <row r="419" spans="1:9" ht="18" x14ac:dyDescent="0.35">
      <c r="A419" s="329"/>
      <c r="B419" s="500"/>
      <c r="C419" s="670"/>
      <c r="D419" s="670"/>
      <c r="E419" s="670"/>
      <c r="F419" s="670"/>
      <c r="G419" s="238"/>
      <c r="H419" s="217"/>
      <c r="I419" s="217"/>
    </row>
    <row r="420" spans="1:9" s="339" customFormat="1" ht="52.2" x14ac:dyDescent="0.3">
      <c r="A420" s="344">
        <v>17</v>
      </c>
      <c r="B420" s="530" t="s">
        <v>440</v>
      </c>
      <c r="C420" s="345" t="s">
        <v>66</v>
      </c>
      <c r="D420" s="345" t="s">
        <v>41</v>
      </c>
      <c r="E420" s="345" t="s">
        <v>42</v>
      </c>
      <c r="F420" s="345" t="s">
        <v>43</v>
      </c>
      <c r="G420" s="338"/>
      <c r="H420" s="251">
        <f t="shared" ref="H420:I422" si="8">H421</f>
        <v>25000</v>
      </c>
      <c r="I420" s="251">
        <f t="shared" si="8"/>
        <v>15000</v>
      </c>
    </row>
    <row r="421" spans="1:9" ht="18" x14ac:dyDescent="0.35">
      <c r="A421" s="329"/>
      <c r="B421" s="509" t="s">
        <v>437</v>
      </c>
      <c r="C421" s="208" t="s">
        <v>66</v>
      </c>
      <c r="D421" s="209" t="s">
        <v>44</v>
      </c>
      <c r="E421" s="209" t="s">
        <v>42</v>
      </c>
      <c r="F421" s="210" t="s">
        <v>43</v>
      </c>
      <c r="G421" s="33"/>
      <c r="H421" s="217">
        <f>H422</f>
        <v>25000</v>
      </c>
      <c r="I421" s="217">
        <f>I422</f>
        <v>15000</v>
      </c>
    </row>
    <row r="422" spans="1:9" ht="36" x14ac:dyDescent="0.35">
      <c r="A422" s="329"/>
      <c r="B422" s="493" t="s">
        <v>435</v>
      </c>
      <c r="C422" s="208" t="s">
        <v>66</v>
      </c>
      <c r="D422" s="209" t="s">
        <v>44</v>
      </c>
      <c r="E422" s="209" t="s">
        <v>42</v>
      </c>
      <c r="F422" s="210" t="s">
        <v>67</v>
      </c>
      <c r="G422" s="33"/>
      <c r="H422" s="217">
        <f t="shared" si="8"/>
        <v>25000</v>
      </c>
      <c r="I422" s="217">
        <f t="shared" si="8"/>
        <v>15000</v>
      </c>
    </row>
    <row r="423" spans="1:9" ht="18" x14ac:dyDescent="0.35">
      <c r="A423" s="329"/>
      <c r="B423" s="493" t="s">
        <v>55</v>
      </c>
      <c r="C423" s="208" t="s">
        <v>66</v>
      </c>
      <c r="D423" s="209" t="s">
        <v>44</v>
      </c>
      <c r="E423" s="209" t="s">
        <v>42</v>
      </c>
      <c r="F423" s="210" t="s">
        <v>67</v>
      </c>
      <c r="G423" s="33" t="s">
        <v>56</v>
      </c>
      <c r="H423" s="217">
        <f>'прил9 (ведом 25-26)'!M53</f>
        <v>25000</v>
      </c>
      <c r="I423" s="217">
        <f>'прил9 (ведом 25-26)'!N53</f>
        <v>15000</v>
      </c>
    </row>
    <row r="424" spans="1:9" ht="18" x14ac:dyDescent="0.35">
      <c r="A424" s="329"/>
      <c r="B424" s="493"/>
      <c r="C424" s="208"/>
      <c r="D424" s="209"/>
      <c r="E424" s="209"/>
      <c r="F424" s="210"/>
      <c r="G424" s="33"/>
      <c r="H424" s="217"/>
      <c r="I424" s="217"/>
    </row>
    <row r="425" spans="1:9" s="339" customFormat="1" ht="17.399999999999999" x14ac:dyDescent="0.3">
      <c r="A425" s="45">
        <v>18</v>
      </c>
      <c r="B425" s="542" t="s">
        <v>358</v>
      </c>
      <c r="C425" s="388"/>
      <c r="D425" s="389"/>
      <c r="E425" s="389"/>
      <c r="F425" s="390"/>
      <c r="G425" s="153"/>
      <c r="H425" s="251">
        <f>H426</f>
        <v>44098.7</v>
      </c>
      <c r="I425" s="251">
        <f>I426</f>
        <v>93440.1</v>
      </c>
    </row>
    <row r="426" spans="1:9" ht="18" x14ac:dyDescent="0.35">
      <c r="A426" s="43"/>
      <c r="B426" s="501" t="s">
        <v>358</v>
      </c>
      <c r="C426" s="208"/>
      <c r="D426" s="209"/>
      <c r="E426" s="209"/>
      <c r="F426" s="210"/>
      <c r="G426" s="33"/>
      <c r="H426" s="391">
        <f>'прил9 (ведом 25-26)'!M570</f>
        <v>44098.7</v>
      </c>
      <c r="I426" s="391">
        <f>'прил9 (ведом 25-26)'!N570</f>
        <v>93440.1</v>
      </c>
    </row>
    <row r="427" spans="1:9" ht="31.2" customHeight="1" x14ac:dyDescent="0.35">
      <c r="A427" s="72"/>
      <c r="B427" s="392"/>
      <c r="C427" s="78"/>
      <c r="D427" s="78"/>
      <c r="E427" s="78"/>
      <c r="F427" s="78"/>
      <c r="G427" s="78"/>
      <c r="H427" s="393"/>
      <c r="I427" s="393"/>
    </row>
    <row r="428" spans="1:9" ht="18" x14ac:dyDescent="0.35">
      <c r="A428" s="663" t="s">
        <v>371</v>
      </c>
      <c r="B428" s="46"/>
      <c r="C428" s="47"/>
      <c r="D428" s="47"/>
      <c r="E428" s="47"/>
      <c r="F428" s="47"/>
      <c r="G428" s="48"/>
    </row>
    <row r="429" spans="1:9" ht="18" x14ac:dyDescent="0.35">
      <c r="A429" s="663" t="s">
        <v>372</v>
      </c>
      <c r="B429" s="46"/>
      <c r="C429" s="47"/>
      <c r="D429" s="47"/>
      <c r="E429" s="47"/>
      <c r="F429" s="47"/>
      <c r="G429" s="48"/>
    </row>
    <row r="430" spans="1:9" ht="18" x14ac:dyDescent="0.35">
      <c r="A430" s="664" t="s">
        <v>373</v>
      </c>
      <c r="B430" s="46"/>
      <c r="C430" s="50"/>
      <c r="D430" s="47"/>
      <c r="E430" s="47"/>
      <c r="F430" s="47"/>
      <c r="G430" s="50"/>
      <c r="H430" s="50"/>
      <c r="I430" s="613" t="s">
        <v>383</v>
      </c>
    </row>
    <row r="431" spans="1:9" x14ac:dyDescent="0.3">
      <c r="A431" s="325"/>
      <c r="B431" s="46"/>
      <c r="C431" s="47"/>
      <c r="D431" s="47"/>
      <c r="E431" s="47"/>
      <c r="F431" s="47"/>
    </row>
    <row r="432" spans="1:9" x14ac:dyDescent="0.3">
      <c r="A432" s="325"/>
      <c r="B432" s="46"/>
      <c r="C432" s="47"/>
      <c r="D432" s="47"/>
      <c r="E432" s="47"/>
      <c r="F432" s="47"/>
    </row>
    <row r="433" spans="1:9" ht="17.399999999999999" x14ac:dyDescent="0.3">
      <c r="A433" s="325"/>
      <c r="B433" s="46"/>
      <c r="C433" s="47"/>
      <c r="D433" s="47"/>
      <c r="E433" s="47"/>
      <c r="F433" s="47"/>
      <c r="G433" s="48"/>
    </row>
    <row r="434" spans="1:9" hidden="1" x14ac:dyDescent="0.3">
      <c r="A434" s="323">
        <v>1</v>
      </c>
      <c r="B434" s="395" t="s">
        <v>233</v>
      </c>
      <c r="H434" s="324">
        <f>H367+H339+H330+H287+H263+H244+H219+H196+H159+H119+H15+H361+H345+H355</f>
        <v>2003307.4999999998</v>
      </c>
      <c r="I434" s="324">
        <f>I367+I339+I330+I287+I263+I244+I219+I196+I159+I119+I15+I361+I345+I355</f>
        <v>2032820.6</v>
      </c>
    </row>
    <row r="435" spans="1:9" hidden="1" x14ac:dyDescent="0.3"/>
    <row r="436" spans="1:9" hidden="1" x14ac:dyDescent="0.3">
      <c r="H436" s="324">
        <f>(H434/H14)*100</f>
        <v>96.333220232506832</v>
      </c>
      <c r="I436" s="324">
        <f>(I434/I14)*100</f>
        <v>94.619549761102959</v>
      </c>
    </row>
    <row r="437" spans="1:9" hidden="1" x14ac:dyDescent="0.3">
      <c r="H437" s="324"/>
      <c r="I437" s="324"/>
    </row>
    <row r="438" spans="1:9" hidden="1" x14ac:dyDescent="0.3">
      <c r="A438" s="323">
        <v>1</v>
      </c>
      <c r="B438" s="395" t="s">
        <v>234</v>
      </c>
      <c r="H438" s="324">
        <f>H420+H413</f>
        <v>32046.2</v>
      </c>
      <c r="I438" s="324">
        <f>I420+I413</f>
        <v>22046.3</v>
      </c>
    </row>
    <row r="439" spans="1:9" hidden="1" x14ac:dyDescent="0.3">
      <c r="H439" s="324">
        <f>(H438/H443)*100</f>
        <v>1.5410884134688541</v>
      </c>
      <c r="I439" s="324">
        <f>(I438/I443)*100</f>
        <v>1.0262173888555035</v>
      </c>
    </row>
    <row r="440" spans="1:9" hidden="1" x14ac:dyDescent="0.3">
      <c r="H440" s="324"/>
      <c r="I440" s="324"/>
    </row>
    <row r="441" spans="1:9" hidden="1" x14ac:dyDescent="0.3">
      <c r="B441" s="395" t="s">
        <v>360</v>
      </c>
      <c r="H441" s="324">
        <f>H425</f>
        <v>44098.7</v>
      </c>
      <c r="I441" s="324">
        <f>I425</f>
        <v>93440.1</v>
      </c>
    </row>
    <row r="442" spans="1:9" hidden="1" x14ac:dyDescent="0.3">
      <c r="H442" s="324">
        <f>(H441/H443)*100</f>
        <v>2.1206881196222622</v>
      </c>
      <c r="I442" s="324">
        <f>(I441/I443)*100</f>
        <v>4.3494761223605387</v>
      </c>
    </row>
    <row r="443" spans="1:9" hidden="1" x14ac:dyDescent="0.3">
      <c r="B443" s="395" t="s">
        <v>199</v>
      </c>
      <c r="H443" s="324">
        <f>H438+H434+H441</f>
        <v>2079452.3999999997</v>
      </c>
      <c r="I443" s="324">
        <f>I438+I434+I441</f>
        <v>2148307</v>
      </c>
    </row>
  </sheetData>
  <autoFilter ref="A4:I443"/>
  <mergeCells count="7">
    <mergeCell ref="A8:I8"/>
    <mergeCell ref="C13:F13"/>
    <mergeCell ref="H11:I11"/>
    <mergeCell ref="A11:A12"/>
    <mergeCell ref="B11:B12"/>
    <mergeCell ref="C11:F12"/>
    <mergeCell ref="G11:G12"/>
  </mergeCells>
  <printOptions horizontalCentered="1"/>
  <pageMargins left="1.1811023622047245" right="0.39370078740157483" top="0.78740157480314965" bottom="0.78740157480314965" header="0" footer="0"/>
  <pageSetup paperSize="9" scale="70" fitToHeight="0" orientation="portrait" blackAndWhite="1" r:id="rId1"/>
  <headerFooter differentFirst="1" alignWithMargins="0">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autoPageBreaks="0" fitToPage="1"/>
  </sheetPr>
  <dimension ref="A1:P881"/>
  <sheetViews>
    <sheetView zoomScale="80" zoomScaleNormal="80" zoomScaleSheetLayoutView="70" workbookViewId="0">
      <selection activeCell="N11" sqref="N11"/>
    </sheetView>
  </sheetViews>
  <sheetFormatPr defaultColWidth="8.88671875" defaultRowHeight="14.4" x14ac:dyDescent="0.3"/>
  <cols>
    <col min="1" max="1" width="4.6640625" style="6" customWidth="1"/>
    <col min="2" max="2" width="54.44140625" style="488" customWidth="1"/>
    <col min="3" max="3" width="10" style="6" customWidth="1"/>
    <col min="4" max="5" width="4.109375" style="6" customWidth="1"/>
    <col min="6" max="6" width="3.33203125" style="6" customWidth="1"/>
    <col min="7" max="7" width="2.44140625" style="6" customWidth="1"/>
    <col min="8" max="8" width="3.33203125" style="6" customWidth="1"/>
    <col min="9" max="9" width="7.6640625" style="6" customWidth="1"/>
    <col min="10" max="10" width="6.5546875" style="6" customWidth="1"/>
    <col min="11" max="11" width="17.6640625" style="35" hidden="1" customWidth="1"/>
    <col min="12" max="12" width="14.109375" style="35" customWidth="1"/>
    <col min="13" max="13" width="14.33203125" style="35" customWidth="1"/>
    <col min="14" max="14" width="37.6640625" style="6" bestFit="1" customWidth="1"/>
    <col min="15" max="15" width="11.6640625" style="6" customWidth="1"/>
    <col min="16" max="16" width="9.33203125" style="6" bestFit="1" customWidth="1"/>
    <col min="17" max="16384" width="8.88671875" style="6"/>
  </cols>
  <sheetData>
    <row r="1" spans="1:14" ht="18" x14ac:dyDescent="0.35">
      <c r="K1" s="158"/>
      <c r="L1" s="158"/>
      <c r="M1" s="158" t="s">
        <v>486</v>
      </c>
    </row>
    <row r="2" spans="1:14" ht="18" customHeight="1" x14ac:dyDescent="0.35">
      <c r="K2" s="158"/>
      <c r="L2" s="158"/>
      <c r="M2" s="158" t="s">
        <v>697</v>
      </c>
    </row>
    <row r="4" spans="1:14" ht="18" x14ac:dyDescent="0.35">
      <c r="K4" s="158"/>
      <c r="L4" s="158"/>
      <c r="M4" s="158" t="s">
        <v>487</v>
      </c>
    </row>
    <row r="5" spans="1:14" ht="18" customHeight="1" x14ac:dyDescent="0.35">
      <c r="K5" s="158"/>
      <c r="L5" s="158"/>
      <c r="M5" s="158" t="s">
        <v>630</v>
      </c>
    </row>
    <row r="6" spans="1:14" ht="14.4" customHeight="1" x14ac:dyDescent="0.3"/>
    <row r="7" spans="1:14" ht="14.4" customHeight="1" x14ac:dyDescent="0.3"/>
    <row r="8" spans="1:14" ht="17.399999999999999" customHeight="1" x14ac:dyDescent="0.3">
      <c r="A8" s="714" t="s">
        <v>573</v>
      </c>
      <c r="B8" s="714"/>
      <c r="C8" s="714"/>
      <c r="D8" s="714"/>
      <c r="E8" s="714"/>
      <c r="F8" s="714"/>
      <c r="G8" s="714"/>
      <c r="H8" s="714"/>
      <c r="I8" s="714"/>
      <c r="J8" s="714"/>
      <c r="K8" s="714"/>
      <c r="L8" s="714"/>
      <c r="M8" s="714"/>
    </row>
    <row r="9" spans="1:14" ht="17.399999999999999" customHeight="1" x14ac:dyDescent="0.3">
      <c r="A9" s="675"/>
      <c r="B9" s="489"/>
      <c r="C9" s="675"/>
      <c r="D9" s="675"/>
      <c r="E9" s="675"/>
      <c r="F9" s="675"/>
      <c r="G9" s="675"/>
      <c r="H9" s="675"/>
      <c r="I9" s="675"/>
      <c r="J9" s="675"/>
    </row>
    <row r="10" spans="1:14" ht="18" customHeight="1" x14ac:dyDescent="0.35">
      <c r="A10" s="7"/>
      <c r="B10" s="8"/>
      <c r="C10" s="9"/>
      <c r="D10" s="9"/>
      <c r="E10" s="9"/>
      <c r="F10" s="9"/>
      <c r="G10" s="7"/>
      <c r="H10" s="10"/>
      <c r="I10" s="11"/>
      <c r="J10" s="12"/>
      <c r="K10" s="463"/>
      <c r="L10" s="463"/>
      <c r="M10" s="463" t="s">
        <v>21</v>
      </c>
    </row>
    <row r="11" spans="1:14" ht="18" customHeight="1" x14ac:dyDescent="0.3">
      <c r="A11" s="718" t="s">
        <v>22</v>
      </c>
      <c r="B11" s="720" t="s">
        <v>23</v>
      </c>
      <c r="C11" s="722" t="s">
        <v>24</v>
      </c>
      <c r="D11" s="722" t="s">
        <v>25</v>
      </c>
      <c r="E11" s="722" t="s">
        <v>26</v>
      </c>
      <c r="F11" s="724" t="s">
        <v>27</v>
      </c>
      <c r="G11" s="725"/>
      <c r="H11" s="725"/>
      <c r="I11" s="726"/>
      <c r="J11" s="722" t="s">
        <v>28</v>
      </c>
      <c r="K11" s="730" t="s">
        <v>602</v>
      </c>
      <c r="L11" s="732" t="s">
        <v>477</v>
      </c>
      <c r="M11" s="733"/>
    </row>
    <row r="12" spans="1:14" ht="36.6" customHeight="1" x14ac:dyDescent="0.35">
      <c r="A12" s="719"/>
      <c r="B12" s="721"/>
      <c r="C12" s="723"/>
      <c r="D12" s="723"/>
      <c r="E12" s="723"/>
      <c r="F12" s="727"/>
      <c r="G12" s="728"/>
      <c r="H12" s="728"/>
      <c r="I12" s="729"/>
      <c r="J12" s="723"/>
      <c r="K12" s="731"/>
      <c r="L12" s="634" t="s">
        <v>603</v>
      </c>
      <c r="M12" s="635" t="s">
        <v>628</v>
      </c>
    </row>
    <row r="13" spans="1:14" ht="18" customHeight="1" x14ac:dyDescent="0.35">
      <c r="A13" s="13">
        <v>1</v>
      </c>
      <c r="B13" s="14">
        <v>2</v>
      </c>
      <c r="C13" s="15" t="s">
        <v>29</v>
      </c>
      <c r="D13" s="15" t="s">
        <v>30</v>
      </c>
      <c r="E13" s="15" t="s">
        <v>31</v>
      </c>
      <c r="F13" s="715" t="s">
        <v>32</v>
      </c>
      <c r="G13" s="716"/>
      <c r="H13" s="716"/>
      <c r="I13" s="717"/>
      <c r="J13" s="15" t="s">
        <v>33</v>
      </c>
      <c r="K13" s="36"/>
      <c r="L13" s="36">
        <v>8</v>
      </c>
      <c r="M13" s="36">
        <v>9</v>
      </c>
    </row>
    <row r="14" spans="1:14" ht="18" customHeight="1" x14ac:dyDescent="0.3">
      <c r="A14" s="16">
        <v>1</v>
      </c>
      <c r="B14" s="17" t="s">
        <v>199</v>
      </c>
      <c r="C14" s="18"/>
      <c r="D14" s="19"/>
      <c r="E14" s="19"/>
      <c r="F14" s="20"/>
      <c r="G14" s="21"/>
      <c r="H14" s="21"/>
      <c r="I14" s="22"/>
      <c r="J14" s="19"/>
      <c r="K14" s="253">
        <f>K15+K219+K265+K283+K556+K637+K695+K732+K386</f>
        <v>2358173.9639699999</v>
      </c>
      <c r="L14" s="253">
        <f>L15+L219+L265+L283+L556+L637+L695+L732+L386</f>
        <v>71533.299999999988</v>
      </c>
      <c r="M14" s="253">
        <f>M15+M219+M265+M283+M556+M637+M695+M732+M386</f>
        <v>2429707.2639699997</v>
      </c>
      <c r="N14" s="205"/>
    </row>
    <row r="15" spans="1:14" s="120" customFormat="1" ht="34.950000000000003" customHeight="1" x14ac:dyDescent="0.3">
      <c r="A15" s="115">
        <v>1</v>
      </c>
      <c r="B15" s="543" t="s">
        <v>0</v>
      </c>
      <c r="C15" s="23" t="s">
        <v>1</v>
      </c>
      <c r="D15" s="24"/>
      <c r="E15" s="24"/>
      <c r="F15" s="25"/>
      <c r="G15" s="26"/>
      <c r="H15" s="26"/>
      <c r="I15" s="27"/>
      <c r="J15" s="24"/>
      <c r="K15" s="37">
        <f>K16+K94+K128+K164+K181+K171+K200</f>
        <v>251535.92247000002</v>
      </c>
      <c r="L15" s="37">
        <f>L16+L94+L128+L164+L181+L171+L200+L207</f>
        <v>37725.199999999997</v>
      </c>
      <c r="M15" s="37">
        <f>M16+M94+M128+M164+M181+M171+M200+M207</f>
        <v>289261.12247</v>
      </c>
    </row>
    <row r="16" spans="1:14" s="121" customFormat="1" ht="18" customHeight="1" x14ac:dyDescent="0.35">
      <c r="A16" s="16"/>
      <c r="B16" s="497" t="s">
        <v>35</v>
      </c>
      <c r="C16" s="28" t="s">
        <v>1</v>
      </c>
      <c r="D16" s="15" t="s">
        <v>36</v>
      </c>
      <c r="E16" s="15"/>
      <c r="F16" s="676"/>
      <c r="G16" s="677"/>
      <c r="H16" s="677"/>
      <c r="I16" s="678"/>
      <c r="J16" s="15"/>
      <c r="K16" s="29">
        <f>K17+K23+K50+K55+K44</f>
        <v>176978.66644999999</v>
      </c>
      <c r="L16" s="29">
        <f t="shared" ref="L16" si="0">L17+L23+L50+L55+L44</f>
        <v>7022.9999999999982</v>
      </c>
      <c r="M16" s="29">
        <f>M17+M23+M50+M55+M44</f>
        <v>184001.66644999999</v>
      </c>
    </row>
    <row r="17" spans="1:15" s="116" customFormat="1" ht="54" customHeight="1" x14ac:dyDescent="0.35">
      <c r="A17" s="16"/>
      <c r="B17" s="497" t="s">
        <v>37</v>
      </c>
      <c r="C17" s="28" t="s">
        <v>1</v>
      </c>
      <c r="D17" s="15" t="s">
        <v>36</v>
      </c>
      <c r="E17" s="15" t="s">
        <v>38</v>
      </c>
      <c r="F17" s="676"/>
      <c r="G17" s="677"/>
      <c r="H17" s="677"/>
      <c r="I17" s="678"/>
      <c r="J17" s="15"/>
      <c r="K17" s="29">
        <f>K18</f>
        <v>2638.4</v>
      </c>
      <c r="L17" s="29">
        <f t="shared" ref="L17" si="1">L18</f>
        <v>0</v>
      </c>
      <c r="M17" s="29">
        <f>M18</f>
        <v>2638.4</v>
      </c>
      <c r="O17" s="116" t="s">
        <v>433</v>
      </c>
    </row>
    <row r="18" spans="1:15" s="116" customFormat="1" ht="54" customHeight="1" x14ac:dyDescent="0.35">
      <c r="A18" s="16"/>
      <c r="B18" s="497" t="s">
        <v>39</v>
      </c>
      <c r="C18" s="28" t="s">
        <v>1</v>
      </c>
      <c r="D18" s="15" t="s">
        <v>36</v>
      </c>
      <c r="E18" s="15" t="s">
        <v>38</v>
      </c>
      <c r="F18" s="676" t="s">
        <v>40</v>
      </c>
      <c r="G18" s="677" t="s">
        <v>41</v>
      </c>
      <c r="H18" s="677" t="s">
        <v>42</v>
      </c>
      <c r="I18" s="678" t="s">
        <v>43</v>
      </c>
      <c r="J18" s="15"/>
      <c r="K18" s="29">
        <f t="shared" ref="K18:M20" si="2">K19</f>
        <v>2638.4</v>
      </c>
      <c r="L18" s="29">
        <f t="shared" si="2"/>
        <v>0</v>
      </c>
      <c r="M18" s="29">
        <f t="shared" si="2"/>
        <v>2638.4</v>
      </c>
    </row>
    <row r="19" spans="1:15" s="116" customFormat="1" ht="36" customHeight="1" x14ac:dyDescent="0.35">
      <c r="A19" s="16"/>
      <c r="B19" s="497" t="s">
        <v>335</v>
      </c>
      <c r="C19" s="28" t="s">
        <v>1</v>
      </c>
      <c r="D19" s="15" t="s">
        <v>36</v>
      </c>
      <c r="E19" s="15" t="s">
        <v>38</v>
      </c>
      <c r="F19" s="676" t="s">
        <v>40</v>
      </c>
      <c r="G19" s="677" t="s">
        <v>44</v>
      </c>
      <c r="H19" s="677" t="s">
        <v>42</v>
      </c>
      <c r="I19" s="678" t="s">
        <v>43</v>
      </c>
      <c r="J19" s="15"/>
      <c r="K19" s="29">
        <f t="shared" si="2"/>
        <v>2638.4</v>
      </c>
      <c r="L19" s="29">
        <f t="shared" si="2"/>
        <v>0</v>
      </c>
      <c r="M19" s="29">
        <f t="shared" si="2"/>
        <v>2638.4</v>
      </c>
    </row>
    <row r="20" spans="1:15" s="116" customFormat="1" ht="54" customHeight="1" x14ac:dyDescent="0.35">
      <c r="A20" s="16"/>
      <c r="B20" s="497" t="s">
        <v>45</v>
      </c>
      <c r="C20" s="28" t="s">
        <v>1</v>
      </c>
      <c r="D20" s="15" t="s">
        <v>36</v>
      </c>
      <c r="E20" s="15" t="s">
        <v>38</v>
      </c>
      <c r="F20" s="676" t="s">
        <v>40</v>
      </c>
      <c r="G20" s="677" t="s">
        <v>44</v>
      </c>
      <c r="H20" s="677" t="s">
        <v>36</v>
      </c>
      <c r="I20" s="678" t="s">
        <v>43</v>
      </c>
      <c r="J20" s="15"/>
      <c r="K20" s="29">
        <f>K21</f>
        <v>2638.4</v>
      </c>
      <c r="L20" s="29">
        <f t="shared" si="2"/>
        <v>0</v>
      </c>
      <c r="M20" s="29">
        <f>M21</f>
        <v>2638.4</v>
      </c>
    </row>
    <row r="21" spans="1:15" s="116" customFormat="1" ht="36" customHeight="1" x14ac:dyDescent="0.35">
      <c r="A21" s="16"/>
      <c r="B21" s="497" t="s">
        <v>46</v>
      </c>
      <c r="C21" s="28" t="s">
        <v>1</v>
      </c>
      <c r="D21" s="15" t="s">
        <v>36</v>
      </c>
      <c r="E21" s="15" t="s">
        <v>38</v>
      </c>
      <c r="F21" s="676" t="s">
        <v>40</v>
      </c>
      <c r="G21" s="677" t="s">
        <v>44</v>
      </c>
      <c r="H21" s="677" t="s">
        <v>36</v>
      </c>
      <c r="I21" s="678" t="s">
        <v>47</v>
      </c>
      <c r="J21" s="15"/>
      <c r="K21" s="29">
        <f>K22</f>
        <v>2638.4</v>
      </c>
      <c r="L21" s="29">
        <f>L22</f>
        <v>0</v>
      </c>
      <c r="M21" s="29">
        <f>M22</f>
        <v>2638.4</v>
      </c>
    </row>
    <row r="22" spans="1:15" s="116" customFormat="1" ht="108" customHeight="1" x14ac:dyDescent="0.35">
      <c r="A22" s="16"/>
      <c r="B22" s="497" t="s">
        <v>48</v>
      </c>
      <c r="C22" s="28" t="s">
        <v>1</v>
      </c>
      <c r="D22" s="15" t="s">
        <v>36</v>
      </c>
      <c r="E22" s="15" t="s">
        <v>38</v>
      </c>
      <c r="F22" s="676" t="s">
        <v>40</v>
      </c>
      <c r="G22" s="677" t="s">
        <v>44</v>
      </c>
      <c r="H22" s="677" t="s">
        <v>36</v>
      </c>
      <c r="I22" s="678" t="s">
        <v>47</v>
      </c>
      <c r="J22" s="15" t="s">
        <v>49</v>
      </c>
      <c r="K22" s="29">
        <v>2638.4</v>
      </c>
      <c r="L22" s="29">
        <f>M22-K22</f>
        <v>0</v>
      </c>
      <c r="M22" s="29">
        <f>2638.4</f>
        <v>2638.4</v>
      </c>
    </row>
    <row r="23" spans="1:15" s="121" customFormat="1" ht="72" x14ac:dyDescent="0.35">
      <c r="A23" s="16"/>
      <c r="B23" s="497" t="s">
        <v>605</v>
      </c>
      <c r="C23" s="28" t="s">
        <v>1</v>
      </c>
      <c r="D23" s="15" t="s">
        <v>36</v>
      </c>
      <c r="E23" s="15" t="s">
        <v>50</v>
      </c>
      <c r="F23" s="676"/>
      <c r="G23" s="677"/>
      <c r="H23" s="677"/>
      <c r="I23" s="678"/>
      <c r="J23" s="15"/>
      <c r="K23" s="29">
        <f t="shared" ref="K23:M24" si="3">K24</f>
        <v>85082.373999999996</v>
      </c>
      <c r="L23" s="29">
        <f t="shared" si="3"/>
        <v>235.89999999999418</v>
      </c>
      <c r="M23" s="29">
        <f t="shared" si="3"/>
        <v>85318.27399999999</v>
      </c>
    </row>
    <row r="24" spans="1:15" s="121" customFormat="1" ht="54" customHeight="1" x14ac:dyDescent="0.35">
      <c r="A24" s="16"/>
      <c r="B24" s="497" t="s">
        <v>51</v>
      </c>
      <c r="C24" s="28" t="s">
        <v>1</v>
      </c>
      <c r="D24" s="15" t="s">
        <v>36</v>
      </c>
      <c r="E24" s="15" t="s">
        <v>50</v>
      </c>
      <c r="F24" s="676" t="s">
        <v>40</v>
      </c>
      <c r="G24" s="677" t="s">
        <v>41</v>
      </c>
      <c r="H24" s="677" t="s">
        <v>42</v>
      </c>
      <c r="I24" s="678" t="s">
        <v>43</v>
      </c>
      <c r="J24" s="15"/>
      <c r="K24" s="29">
        <f t="shared" si="3"/>
        <v>85082.373999999996</v>
      </c>
      <c r="L24" s="29">
        <f t="shared" si="3"/>
        <v>235.89999999999418</v>
      </c>
      <c r="M24" s="29">
        <f t="shared" si="3"/>
        <v>85318.27399999999</v>
      </c>
    </row>
    <row r="25" spans="1:15" s="12" customFormat="1" ht="36" customHeight="1" x14ac:dyDescent="0.35">
      <c r="A25" s="16"/>
      <c r="B25" s="497" t="s">
        <v>335</v>
      </c>
      <c r="C25" s="28" t="s">
        <v>1</v>
      </c>
      <c r="D25" s="15" t="s">
        <v>36</v>
      </c>
      <c r="E25" s="15" t="s">
        <v>50</v>
      </c>
      <c r="F25" s="676" t="s">
        <v>40</v>
      </c>
      <c r="G25" s="677" t="s">
        <v>44</v>
      </c>
      <c r="H25" s="677" t="s">
        <v>42</v>
      </c>
      <c r="I25" s="678" t="s">
        <v>43</v>
      </c>
      <c r="J25" s="15"/>
      <c r="K25" s="29">
        <f>K26+K41</f>
        <v>85082.373999999996</v>
      </c>
      <c r="L25" s="29">
        <f>L26+L41</f>
        <v>235.89999999999418</v>
      </c>
      <c r="M25" s="29">
        <f>M26+M41</f>
        <v>85318.27399999999</v>
      </c>
    </row>
    <row r="26" spans="1:15" s="12" customFormat="1" ht="36" customHeight="1" x14ac:dyDescent="0.35">
      <c r="A26" s="16"/>
      <c r="B26" s="497" t="s">
        <v>52</v>
      </c>
      <c r="C26" s="28" t="s">
        <v>1</v>
      </c>
      <c r="D26" s="15" t="s">
        <v>36</v>
      </c>
      <c r="E26" s="15" t="s">
        <v>50</v>
      </c>
      <c r="F26" s="676" t="s">
        <v>40</v>
      </c>
      <c r="G26" s="677" t="s">
        <v>44</v>
      </c>
      <c r="H26" s="677" t="s">
        <v>38</v>
      </c>
      <c r="I26" s="678" t="s">
        <v>43</v>
      </c>
      <c r="J26" s="15"/>
      <c r="K26" s="29">
        <f>K27+K33+K35+K31+K38</f>
        <v>85063.873999999996</v>
      </c>
      <c r="L26" s="29">
        <f t="shared" ref="L26" si="4">L27+L33+L35+L31+L38</f>
        <v>235.89999999999418</v>
      </c>
      <c r="M26" s="29">
        <f>M27+M33+M35+M31+M38</f>
        <v>85299.77399999999</v>
      </c>
    </row>
    <row r="27" spans="1:15" s="116" customFormat="1" ht="36" customHeight="1" x14ac:dyDescent="0.35">
      <c r="A27" s="16"/>
      <c r="B27" s="497" t="s">
        <v>46</v>
      </c>
      <c r="C27" s="28" t="s">
        <v>1</v>
      </c>
      <c r="D27" s="15" t="s">
        <v>36</v>
      </c>
      <c r="E27" s="15" t="s">
        <v>50</v>
      </c>
      <c r="F27" s="676" t="s">
        <v>40</v>
      </c>
      <c r="G27" s="677" t="s">
        <v>44</v>
      </c>
      <c r="H27" s="677" t="s">
        <v>38</v>
      </c>
      <c r="I27" s="678" t="s">
        <v>47</v>
      </c>
      <c r="J27" s="15"/>
      <c r="K27" s="29">
        <f>K28+K29+K30</f>
        <v>79384.27399999999</v>
      </c>
      <c r="L27" s="29">
        <f t="shared" ref="L27" si="5">L28+L29+L30</f>
        <v>235.89999999999418</v>
      </c>
      <c r="M27" s="29">
        <f>M28+M29+M30</f>
        <v>79620.173999999985</v>
      </c>
    </row>
    <row r="28" spans="1:15" s="116" customFormat="1" ht="108" customHeight="1" x14ac:dyDescent="0.35">
      <c r="A28" s="16"/>
      <c r="B28" s="497" t="s">
        <v>48</v>
      </c>
      <c r="C28" s="28" t="s">
        <v>1</v>
      </c>
      <c r="D28" s="15" t="s">
        <v>36</v>
      </c>
      <c r="E28" s="15" t="s">
        <v>50</v>
      </c>
      <c r="F28" s="676" t="s">
        <v>40</v>
      </c>
      <c r="G28" s="677" t="s">
        <v>44</v>
      </c>
      <c r="H28" s="677" t="s">
        <v>38</v>
      </c>
      <c r="I28" s="678" t="s">
        <v>47</v>
      </c>
      <c r="J28" s="15" t="s">
        <v>49</v>
      </c>
      <c r="K28" s="29">
        <v>78713.2</v>
      </c>
      <c r="L28" s="29">
        <f>M28-K28</f>
        <v>235.89999999999418</v>
      </c>
      <c r="M28" s="29">
        <f>78713.2+235.9</f>
        <v>78949.099999999991</v>
      </c>
      <c r="N28" s="121"/>
    </row>
    <row r="29" spans="1:15" s="12" customFormat="1" ht="54" customHeight="1" x14ac:dyDescent="0.35">
      <c r="A29" s="16"/>
      <c r="B29" s="497" t="s">
        <v>53</v>
      </c>
      <c r="C29" s="28" t="s">
        <v>1</v>
      </c>
      <c r="D29" s="15" t="s">
        <v>36</v>
      </c>
      <c r="E29" s="15" t="s">
        <v>50</v>
      </c>
      <c r="F29" s="676" t="s">
        <v>40</v>
      </c>
      <c r="G29" s="677" t="s">
        <v>44</v>
      </c>
      <c r="H29" s="677" t="s">
        <v>38</v>
      </c>
      <c r="I29" s="678" t="s">
        <v>47</v>
      </c>
      <c r="J29" s="15" t="s">
        <v>54</v>
      </c>
      <c r="K29" s="29">
        <f>542.6+3.474</f>
        <v>546.07400000000007</v>
      </c>
      <c r="L29" s="29">
        <f>M29-K29</f>
        <v>0</v>
      </c>
      <c r="M29" s="29">
        <f>542.6+3.474</f>
        <v>546.07400000000007</v>
      </c>
    </row>
    <row r="30" spans="1:15" s="116" customFormat="1" ht="18" customHeight="1" x14ac:dyDescent="0.35">
      <c r="A30" s="16"/>
      <c r="B30" s="497" t="s">
        <v>55</v>
      </c>
      <c r="C30" s="28" t="s">
        <v>1</v>
      </c>
      <c r="D30" s="15" t="s">
        <v>36</v>
      </c>
      <c r="E30" s="15" t="s">
        <v>50</v>
      </c>
      <c r="F30" s="676" t="s">
        <v>40</v>
      </c>
      <c r="G30" s="677" t="s">
        <v>44</v>
      </c>
      <c r="H30" s="677" t="s">
        <v>38</v>
      </c>
      <c r="I30" s="678" t="s">
        <v>47</v>
      </c>
      <c r="J30" s="15" t="s">
        <v>56</v>
      </c>
      <c r="K30" s="29">
        <f>60.3+64.7</f>
        <v>125</v>
      </c>
      <c r="L30" s="29">
        <f>M30-K30</f>
        <v>0</v>
      </c>
      <c r="M30" s="29">
        <f>60.3+64.7</f>
        <v>125</v>
      </c>
      <c r="N30" s="12"/>
    </row>
    <row r="31" spans="1:15" s="12" customFormat="1" ht="210.75" customHeight="1" x14ac:dyDescent="0.35">
      <c r="A31" s="16"/>
      <c r="B31" s="497" t="s">
        <v>591</v>
      </c>
      <c r="C31" s="28" t="s">
        <v>1</v>
      </c>
      <c r="D31" s="15" t="s">
        <v>36</v>
      </c>
      <c r="E31" s="15" t="s">
        <v>50</v>
      </c>
      <c r="F31" s="676" t="s">
        <v>40</v>
      </c>
      <c r="G31" s="677" t="s">
        <v>44</v>
      </c>
      <c r="H31" s="677" t="s">
        <v>38</v>
      </c>
      <c r="I31" s="678" t="s">
        <v>261</v>
      </c>
      <c r="J31" s="15"/>
      <c r="K31" s="29">
        <f>K32</f>
        <v>63</v>
      </c>
      <c r="L31" s="29">
        <f t="shared" ref="L31" si="6">L32</f>
        <v>0</v>
      </c>
      <c r="M31" s="29">
        <f>M32</f>
        <v>63</v>
      </c>
    </row>
    <row r="32" spans="1:15" s="121" customFormat="1" ht="54" customHeight="1" x14ac:dyDescent="0.35">
      <c r="A32" s="16"/>
      <c r="B32" s="497" t="s">
        <v>53</v>
      </c>
      <c r="C32" s="28" t="s">
        <v>1</v>
      </c>
      <c r="D32" s="15" t="s">
        <v>36</v>
      </c>
      <c r="E32" s="15" t="s">
        <v>50</v>
      </c>
      <c r="F32" s="676" t="s">
        <v>40</v>
      </c>
      <c r="G32" s="677" t="s">
        <v>44</v>
      </c>
      <c r="H32" s="677" t="s">
        <v>38</v>
      </c>
      <c r="I32" s="678" t="s">
        <v>261</v>
      </c>
      <c r="J32" s="15" t="s">
        <v>54</v>
      </c>
      <c r="K32" s="29">
        <v>63</v>
      </c>
      <c r="L32" s="29">
        <f>M32-K32</f>
        <v>0</v>
      </c>
      <c r="M32" s="29">
        <v>63</v>
      </c>
    </row>
    <row r="33" spans="1:13" s="121" customFormat="1" ht="198" customHeight="1" x14ac:dyDescent="0.35">
      <c r="A33" s="16"/>
      <c r="B33" s="544" t="s">
        <v>442</v>
      </c>
      <c r="C33" s="28" t="s">
        <v>1</v>
      </c>
      <c r="D33" s="15" t="s">
        <v>36</v>
      </c>
      <c r="E33" s="15" t="s">
        <v>50</v>
      </c>
      <c r="F33" s="676" t="s">
        <v>40</v>
      </c>
      <c r="G33" s="677" t="s">
        <v>44</v>
      </c>
      <c r="H33" s="677" t="s">
        <v>38</v>
      </c>
      <c r="I33" s="678" t="s">
        <v>57</v>
      </c>
      <c r="J33" s="15"/>
      <c r="K33" s="29">
        <f>K34</f>
        <v>755.8</v>
      </c>
      <c r="L33" s="29">
        <f t="shared" ref="L33" si="7">L34</f>
        <v>0</v>
      </c>
      <c r="M33" s="29">
        <f>M34</f>
        <v>755.8</v>
      </c>
    </row>
    <row r="34" spans="1:13" s="121" customFormat="1" ht="108" customHeight="1" x14ac:dyDescent="0.35">
      <c r="A34" s="16"/>
      <c r="B34" s="497" t="s">
        <v>48</v>
      </c>
      <c r="C34" s="28" t="s">
        <v>1</v>
      </c>
      <c r="D34" s="15" t="s">
        <v>36</v>
      </c>
      <c r="E34" s="15" t="s">
        <v>50</v>
      </c>
      <c r="F34" s="676" t="s">
        <v>40</v>
      </c>
      <c r="G34" s="677" t="s">
        <v>44</v>
      </c>
      <c r="H34" s="677" t="s">
        <v>38</v>
      </c>
      <c r="I34" s="678" t="s">
        <v>57</v>
      </c>
      <c r="J34" s="15" t="s">
        <v>49</v>
      </c>
      <c r="K34" s="29">
        <v>755.8</v>
      </c>
      <c r="L34" s="29">
        <f>M34-K34</f>
        <v>0</v>
      </c>
      <c r="M34" s="29">
        <v>755.8</v>
      </c>
    </row>
    <row r="35" spans="1:13" s="121" customFormat="1" ht="72" customHeight="1" x14ac:dyDescent="0.35">
      <c r="A35" s="16"/>
      <c r="B35" s="497" t="s">
        <v>404</v>
      </c>
      <c r="C35" s="28" t="s">
        <v>1</v>
      </c>
      <c r="D35" s="15" t="s">
        <v>36</v>
      </c>
      <c r="E35" s="15" t="s">
        <v>50</v>
      </c>
      <c r="F35" s="676" t="s">
        <v>40</v>
      </c>
      <c r="G35" s="677" t="s">
        <v>44</v>
      </c>
      <c r="H35" s="677" t="s">
        <v>38</v>
      </c>
      <c r="I35" s="678" t="s">
        <v>59</v>
      </c>
      <c r="J35" s="15"/>
      <c r="K35" s="29">
        <f>K36+K37</f>
        <v>756</v>
      </c>
      <c r="L35" s="29">
        <f t="shared" ref="L35" si="8">L36+L37</f>
        <v>0</v>
      </c>
      <c r="M35" s="29">
        <f>M36+M37</f>
        <v>756</v>
      </c>
    </row>
    <row r="36" spans="1:13" s="121" customFormat="1" ht="108" customHeight="1" x14ac:dyDescent="0.35">
      <c r="A36" s="16"/>
      <c r="B36" s="497" t="s">
        <v>48</v>
      </c>
      <c r="C36" s="28" t="s">
        <v>1</v>
      </c>
      <c r="D36" s="15" t="s">
        <v>36</v>
      </c>
      <c r="E36" s="15" t="s">
        <v>50</v>
      </c>
      <c r="F36" s="676" t="s">
        <v>40</v>
      </c>
      <c r="G36" s="677" t="s">
        <v>44</v>
      </c>
      <c r="H36" s="677" t="s">
        <v>38</v>
      </c>
      <c r="I36" s="678" t="s">
        <v>59</v>
      </c>
      <c r="J36" s="15" t="s">
        <v>49</v>
      </c>
      <c r="K36" s="29">
        <v>751.8</v>
      </c>
      <c r="L36" s="29">
        <f>M36-K36</f>
        <v>0</v>
      </c>
      <c r="M36" s="29">
        <v>751.8</v>
      </c>
    </row>
    <row r="37" spans="1:13" s="121" customFormat="1" ht="54" customHeight="1" x14ac:dyDescent="0.35">
      <c r="A37" s="16"/>
      <c r="B37" s="497" t="s">
        <v>53</v>
      </c>
      <c r="C37" s="28" t="s">
        <v>1</v>
      </c>
      <c r="D37" s="15" t="s">
        <v>36</v>
      </c>
      <c r="E37" s="15" t="s">
        <v>50</v>
      </c>
      <c r="F37" s="676" t="s">
        <v>40</v>
      </c>
      <c r="G37" s="677" t="s">
        <v>44</v>
      </c>
      <c r="H37" s="677" t="s">
        <v>38</v>
      </c>
      <c r="I37" s="678" t="s">
        <v>59</v>
      </c>
      <c r="J37" s="15" t="s">
        <v>54</v>
      </c>
      <c r="K37" s="29">
        <v>4.2</v>
      </c>
      <c r="L37" s="29">
        <f>M37-K37</f>
        <v>0</v>
      </c>
      <c r="M37" s="29">
        <v>4.2</v>
      </c>
    </row>
    <row r="38" spans="1:13" s="121" customFormat="1" ht="72" customHeight="1" x14ac:dyDescent="0.35">
      <c r="A38" s="16"/>
      <c r="B38" s="497" t="s">
        <v>58</v>
      </c>
      <c r="C38" s="28" t="s">
        <v>1</v>
      </c>
      <c r="D38" s="15" t="s">
        <v>36</v>
      </c>
      <c r="E38" s="15" t="s">
        <v>50</v>
      </c>
      <c r="F38" s="676" t="s">
        <v>40</v>
      </c>
      <c r="G38" s="677" t="s">
        <v>44</v>
      </c>
      <c r="H38" s="677" t="s">
        <v>38</v>
      </c>
      <c r="I38" s="678" t="s">
        <v>497</v>
      </c>
      <c r="J38" s="15"/>
      <c r="K38" s="29">
        <f>SUM(K39:K40)</f>
        <v>4104.8</v>
      </c>
      <c r="L38" s="29">
        <f t="shared" ref="L38" si="9">SUM(L39:L40)</f>
        <v>0</v>
      </c>
      <c r="M38" s="29">
        <f>SUM(M39:M40)</f>
        <v>4104.8</v>
      </c>
    </row>
    <row r="39" spans="1:13" s="121" customFormat="1" ht="108" customHeight="1" x14ac:dyDescent="0.35">
      <c r="A39" s="16"/>
      <c r="B39" s="497" t="s">
        <v>48</v>
      </c>
      <c r="C39" s="28" t="s">
        <v>1</v>
      </c>
      <c r="D39" s="15" t="s">
        <v>36</v>
      </c>
      <c r="E39" s="15" t="s">
        <v>50</v>
      </c>
      <c r="F39" s="676" t="s">
        <v>40</v>
      </c>
      <c r="G39" s="677" t="s">
        <v>44</v>
      </c>
      <c r="H39" s="677" t="s">
        <v>38</v>
      </c>
      <c r="I39" s="678" t="s">
        <v>497</v>
      </c>
      <c r="J39" s="15" t="s">
        <v>49</v>
      </c>
      <c r="K39" s="29">
        <v>4029.8</v>
      </c>
      <c r="L39" s="29">
        <f>M39-K39</f>
        <v>0</v>
      </c>
      <c r="M39" s="29">
        <v>4029.8</v>
      </c>
    </row>
    <row r="40" spans="1:13" s="121" customFormat="1" ht="54" customHeight="1" x14ac:dyDescent="0.35">
      <c r="A40" s="16"/>
      <c r="B40" s="497" t="s">
        <v>53</v>
      </c>
      <c r="C40" s="28" t="s">
        <v>1</v>
      </c>
      <c r="D40" s="15" t="s">
        <v>36</v>
      </c>
      <c r="E40" s="15" t="s">
        <v>50</v>
      </c>
      <c r="F40" s="676" t="s">
        <v>40</v>
      </c>
      <c r="G40" s="677" t="s">
        <v>44</v>
      </c>
      <c r="H40" s="677" t="s">
        <v>38</v>
      </c>
      <c r="I40" s="678" t="s">
        <v>497</v>
      </c>
      <c r="J40" s="15" t="s">
        <v>54</v>
      </c>
      <c r="K40" s="29">
        <v>75</v>
      </c>
      <c r="L40" s="29">
        <f>M40-K40</f>
        <v>0</v>
      </c>
      <c r="M40" s="29">
        <v>75</v>
      </c>
    </row>
    <row r="41" spans="1:13" s="121" customFormat="1" ht="18" x14ac:dyDescent="0.35">
      <c r="A41" s="16"/>
      <c r="B41" s="497" t="s">
        <v>60</v>
      </c>
      <c r="C41" s="28" t="s">
        <v>1</v>
      </c>
      <c r="D41" s="15" t="s">
        <v>36</v>
      </c>
      <c r="E41" s="15" t="s">
        <v>50</v>
      </c>
      <c r="F41" s="676" t="s">
        <v>40</v>
      </c>
      <c r="G41" s="677" t="s">
        <v>44</v>
      </c>
      <c r="H41" s="677" t="s">
        <v>61</v>
      </c>
      <c r="I41" s="678" t="s">
        <v>43</v>
      </c>
      <c r="J41" s="15"/>
      <c r="K41" s="29">
        <f t="shared" ref="K41:M42" si="10">K42</f>
        <v>18.5</v>
      </c>
      <c r="L41" s="29">
        <f t="shared" si="10"/>
        <v>0</v>
      </c>
      <c r="M41" s="29">
        <f t="shared" si="10"/>
        <v>18.5</v>
      </c>
    </row>
    <row r="42" spans="1:13" s="121" customFormat="1" ht="36" x14ac:dyDescent="0.35">
      <c r="A42" s="16"/>
      <c r="B42" s="497" t="s">
        <v>46</v>
      </c>
      <c r="C42" s="28" t="s">
        <v>1</v>
      </c>
      <c r="D42" s="15" t="s">
        <v>36</v>
      </c>
      <c r="E42" s="15" t="s">
        <v>50</v>
      </c>
      <c r="F42" s="676" t="s">
        <v>40</v>
      </c>
      <c r="G42" s="677" t="s">
        <v>44</v>
      </c>
      <c r="H42" s="677" t="s">
        <v>61</v>
      </c>
      <c r="I42" s="678" t="s">
        <v>47</v>
      </c>
      <c r="J42" s="15"/>
      <c r="K42" s="29">
        <f t="shared" si="10"/>
        <v>18.5</v>
      </c>
      <c r="L42" s="29">
        <f t="shared" si="10"/>
        <v>0</v>
      </c>
      <c r="M42" s="29">
        <f t="shared" si="10"/>
        <v>18.5</v>
      </c>
    </row>
    <row r="43" spans="1:13" s="121" customFormat="1" ht="54" customHeight="1" x14ac:dyDescent="0.35">
      <c r="A43" s="16"/>
      <c r="B43" s="497" t="s">
        <v>53</v>
      </c>
      <c r="C43" s="28" t="s">
        <v>1</v>
      </c>
      <c r="D43" s="15" t="s">
        <v>36</v>
      </c>
      <c r="E43" s="15" t="s">
        <v>50</v>
      </c>
      <c r="F43" s="676" t="s">
        <v>40</v>
      </c>
      <c r="G43" s="677" t="s">
        <v>44</v>
      </c>
      <c r="H43" s="677" t="s">
        <v>61</v>
      </c>
      <c r="I43" s="678" t="s">
        <v>47</v>
      </c>
      <c r="J43" s="15" t="s">
        <v>54</v>
      </c>
      <c r="K43" s="29">
        <f>15+3.5</f>
        <v>18.5</v>
      </c>
      <c r="L43" s="29">
        <f>M43-K43</f>
        <v>0</v>
      </c>
      <c r="M43" s="29">
        <f>15+3.5</f>
        <v>18.5</v>
      </c>
    </row>
    <row r="44" spans="1:13" s="12" customFormat="1" ht="18" customHeight="1" x14ac:dyDescent="0.35">
      <c r="A44" s="16"/>
      <c r="B44" s="497" t="s">
        <v>379</v>
      </c>
      <c r="C44" s="28" t="s">
        <v>1</v>
      </c>
      <c r="D44" s="15" t="s">
        <v>36</v>
      </c>
      <c r="E44" s="15" t="s">
        <v>63</v>
      </c>
      <c r="F44" s="676"/>
      <c r="G44" s="677"/>
      <c r="H44" s="677"/>
      <c r="I44" s="678"/>
      <c r="J44" s="15"/>
      <c r="K44" s="29">
        <f t="shared" ref="K44:M48" si="11">K45</f>
        <v>8.6</v>
      </c>
      <c r="L44" s="29">
        <f t="shared" si="11"/>
        <v>0</v>
      </c>
      <c r="M44" s="29">
        <f t="shared" si="11"/>
        <v>8.6</v>
      </c>
    </row>
    <row r="45" spans="1:13" s="12" customFormat="1" ht="54" customHeight="1" x14ac:dyDescent="0.35">
      <c r="A45" s="16"/>
      <c r="B45" s="497" t="s">
        <v>51</v>
      </c>
      <c r="C45" s="28" t="s">
        <v>1</v>
      </c>
      <c r="D45" s="15" t="s">
        <v>36</v>
      </c>
      <c r="E45" s="15" t="s">
        <v>63</v>
      </c>
      <c r="F45" s="676" t="s">
        <v>40</v>
      </c>
      <c r="G45" s="677" t="s">
        <v>41</v>
      </c>
      <c r="H45" s="677" t="s">
        <v>42</v>
      </c>
      <c r="I45" s="678" t="s">
        <v>43</v>
      </c>
      <c r="J45" s="15"/>
      <c r="K45" s="29">
        <f t="shared" si="11"/>
        <v>8.6</v>
      </c>
      <c r="L45" s="29">
        <f t="shared" si="11"/>
        <v>0</v>
      </c>
      <c r="M45" s="29">
        <f t="shared" si="11"/>
        <v>8.6</v>
      </c>
    </row>
    <row r="46" spans="1:13" s="12" customFormat="1" ht="36" customHeight="1" x14ac:dyDescent="0.35">
      <c r="A46" s="16"/>
      <c r="B46" s="497" t="s">
        <v>335</v>
      </c>
      <c r="C46" s="28" t="s">
        <v>1</v>
      </c>
      <c r="D46" s="15" t="s">
        <v>36</v>
      </c>
      <c r="E46" s="15" t="s">
        <v>63</v>
      </c>
      <c r="F46" s="676" t="s">
        <v>40</v>
      </c>
      <c r="G46" s="677" t="s">
        <v>44</v>
      </c>
      <c r="H46" s="677" t="s">
        <v>42</v>
      </c>
      <c r="I46" s="678" t="s">
        <v>43</v>
      </c>
      <c r="J46" s="15"/>
      <c r="K46" s="29">
        <f t="shared" si="11"/>
        <v>8.6</v>
      </c>
      <c r="L46" s="29">
        <f t="shared" si="11"/>
        <v>0</v>
      </c>
      <c r="M46" s="29">
        <f t="shared" si="11"/>
        <v>8.6</v>
      </c>
    </row>
    <row r="47" spans="1:13" s="12" customFormat="1" ht="36" customHeight="1" x14ac:dyDescent="0.35">
      <c r="A47" s="16"/>
      <c r="B47" s="497" t="s">
        <v>52</v>
      </c>
      <c r="C47" s="28" t="s">
        <v>1</v>
      </c>
      <c r="D47" s="15" t="s">
        <v>36</v>
      </c>
      <c r="E47" s="15" t="s">
        <v>63</v>
      </c>
      <c r="F47" s="676" t="s">
        <v>40</v>
      </c>
      <c r="G47" s="677" t="s">
        <v>44</v>
      </c>
      <c r="H47" s="677" t="s">
        <v>38</v>
      </c>
      <c r="I47" s="678" t="s">
        <v>43</v>
      </c>
      <c r="J47" s="15"/>
      <c r="K47" s="29">
        <f t="shared" si="11"/>
        <v>8.6</v>
      </c>
      <c r="L47" s="29">
        <f t="shared" si="11"/>
        <v>0</v>
      </c>
      <c r="M47" s="29">
        <f t="shared" si="11"/>
        <v>8.6</v>
      </c>
    </row>
    <row r="48" spans="1:13" s="12" customFormat="1" ht="72" customHeight="1" x14ac:dyDescent="0.35">
      <c r="A48" s="16"/>
      <c r="B48" s="497" t="s">
        <v>381</v>
      </c>
      <c r="C48" s="28" t="s">
        <v>1</v>
      </c>
      <c r="D48" s="15" t="s">
        <v>36</v>
      </c>
      <c r="E48" s="15" t="s">
        <v>63</v>
      </c>
      <c r="F48" s="676" t="s">
        <v>40</v>
      </c>
      <c r="G48" s="677" t="s">
        <v>44</v>
      </c>
      <c r="H48" s="677" t="s">
        <v>38</v>
      </c>
      <c r="I48" s="678" t="s">
        <v>380</v>
      </c>
      <c r="J48" s="15"/>
      <c r="K48" s="29">
        <f>K49</f>
        <v>8.6</v>
      </c>
      <c r="L48" s="29">
        <f t="shared" si="11"/>
        <v>0</v>
      </c>
      <c r="M48" s="29">
        <f>M49</f>
        <v>8.6</v>
      </c>
    </row>
    <row r="49" spans="1:13" s="12" customFormat="1" ht="54" customHeight="1" x14ac:dyDescent="0.35">
      <c r="A49" s="16"/>
      <c r="B49" s="497" t="s">
        <v>53</v>
      </c>
      <c r="C49" s="28" t="s">
        <v>1</v>
      </c>
      <c r="D49" s="15" t="s">
        <v>36</v>
      </c>
      <c r="E49" s="15" t="s">
        <v>63</v>
      </c>
      <c r="F49" s="676" t="s">
        <v>40</v>
      </c>
      <c r="G49" s="677" t="s">
        <v>44</v>
      </c>
      <c r="H49" s="677" t="s">
        <v>38</v>
      </c>
      <c r="I49" s="678" t="s">
        <v>380</v>
      </c>
      <c r="J49" s="15" t="s">
        <v>54</v>
      </c>
      <c r="K49" s="29">
        <v>8.6</v>
      </c>
      <c r="L49" s="29">
        <f>M49-K49</f>
        <v>0</v>
      </c>
      <c r="M49" s="29">
        <v>8.6</v>
      </c>
    </row>
    <row r="50" spans="1:13" s="116" customFormat="1" ht="18" customHeight="1" x14ac:dyDescent="0.35">
      <c r="A50" s="16"/>
      <c r="B50" s="497" t="s">
        <v>64</v>
      </c>
      <c r="C50" s="28" t="s">
        <v>1</v>
      </c>
      <c r="D50" s="15" t="s">
        <v>36</v>
      </c>
      <c r="E50" s="15" t="s">
        <v>65</v>
      </c>
      <c r="F50" s="676"/>
      <c r="G50" s="677"/>
      <c r="H50" s="677"/>
      <c r="I50" s="678"/>
      <c r="J50" s="15"/>
      <c r="K50" s="29">
        <f t="shared" ref="K50:M51" si="12">K51</f>
        <v>21322.409049999995</v>
      </c>
      <c r="L50" s="29">
        <f t="shared" si="12"/>
        <v>-972.59999999999854</v>
      </c>
      <c r="M50" s="29">
        <f t="shared" si="12"/>
        <v>20349.809049999996</v>
      </c>
    </row>
    <row r="51" spans="1:13" s="116" customFormat="1" ht="36" customHeight="1" x14ac:dyDescent="0.35">
      <c r="A51" s="16"/>
      <c r="B51" s="497" t="s">
        <v>436</v>
      </c>
      <c r="C51" s="28" t="s">
        <v>1</v>
      </c>
      <c r="D51" s="15" t="s">
        <v>36</v>
      </c>
      <c r="E51" s="15" t="s">
        <v>65</v>
      </c>
      <c r="F51" s="676" t="s">
        <v>66</v>
      </c>
      <c r="G51" s="677" t="s">
        <v>41</v>
      </c>
      <c r="H51" s="677" t="s">
        <v>42</v>
      </c>
      <c r="I51" s="678" t="s">
        <v>43</v>
      </c>
      <c r="J51" s="15"/>
      <c r="K51" s="29">
        <f t="shared" si="12"/>
        <v>21322.409049999995</v>
      </c>
      <c r="L51" s="29">
        <f t="shared" si="12"/>
        <v>-972.59999999999854</v>
      </c>
      <c r="M51" s="29">
        <f t="shared" si="12"/>
        <v>20349.809049999996</v>
      </c>
    </row>
    <row r="52" spans="1:13" s="116" customFormat="1" ht="18" customHeight="1" x14ac:dyDescent="0.35">
      <c r="A52" s="16"/>
      <c r="B52" s="529" t="s">
        <v>437</v>
      </c>
      <c r="C52" s="28" t="s">
        <v>1</v>
      </c>
      <c r="D52" s="15" t="s">
        <v>36</v>
      </c>
      <c r="E52" s="15" t="s">
        <v>65</v>
      </c>
      <c r="F52" s="676" t="s">
        <v>66</v>
      </c>
      <c r="G52" s="677" t="s">
        <v>44</v>
      </c>
      <c r="H52" s="677" t="s">
        <v>42</v>
      </c>
      <c r="I52" s="678" t="s">
        <v>43</v>
      </c>
      <c r="J52" s="15"/>
      <c r="K52" s="29">
        <f t="shared" ref="K52:M53" si="13">K53</f>
        <v>21322.409049999995</v>
      </c>
      <c r="L52" s="29">
        <f t="shared" si="13"/>
        <v>-972.59999999999854</v>
      </c>
      <c r="M52" s="29">
        <f t="shared" si="13"/>
        <v>20349.809049999996</v>
      </c>
    </row>
    <row r="53" spans="1:13" s="116" customFormat="1" ht="36" customHeight="1" x14ac:dyDescent="0.35">
      <c r="A53" s="16"/>
      <c r="B53" s="497" t="s">
        <v>435</v>
      </c>
      <c r="C53" s="28" t="s">
        <v>1</v>
      </c>
      <c r="D53" s="15" t="s">
        <v>36</v>
      </c>
      <c r="E53" s="15" t="s">
        <v>65</v>
      </c>
      <c r="F53" s="676" t="s">
        <v>66</v>
      </c>
      <c r="G53" s="677" t="s">
        <v>44</v>
      </c>
      <c r="H53" s="677" t="s">
        <v>42</v>
      </c>
      <c r="I53" s="678" t="s">
        <v>67</v>
      </c>
      <c r="J53" s="15"/>
      <c r="K53" s="29">
        <f t="shared" si="13"/>
        <v>21322.409049999995</v>
      </c>
      <c r="L53" s="29">
        <f t="shared" si="13"/>
        <v>-972.59999999999854</v>
      </c>
      <c r="M53" s="29">
        <f t="shared" si="13"/>
        <v>20349.809049999996</v>
      </c>
    </row>
    <row r="54" spans="1:13" s="116" customFormat="1" ht="18" customHeight="1" x14ac:dyDescent="0.35">
      <c r="A54" s="16"/>
      <c r="B54" s="497" t="s">
        <v>55</v>
      </c>
      <c r="C54" s="28" t="s">
        <v>1</v>
      </c>
      <c r="D54" s="15" t="s">
        <v>36</v>
      </c>
      <c r="E54" s="15" t="s">
        <v>65</v>
      </c>
      <c r="F54" s="676" t="s">
        <v>66</v>
      </c>
      <c r="G54" s="677" t="s">
        <v>44</v>
      </c>
      <c r="H54" s="677" t="s">
        <v>42</v>
      </c>
      <c r="I54" s="678" t="s">
        <v>67</v>
      </c>
      <c r="J54" s="15" t="s">
        <v>56</v>
      </c>
      <c r="K54" s="29">
        <f>36721.5+549+494.7-36-21002.2+4595.4+0.00905</f>
        <v>21322.409049999995</v>
      </c>
      <c r="L54" s="29">
        <f>M54-K54</f>
        <v>-972.59999999999854</v>
      </c>
      <c r="M54" s="29">
        <f>36721.5+549+494.7-36-21002.2+4595.4+0.00905-972.6</f>
        <v>20349.809049999996</v>
      </c>
    </row>
    <row r="55" spans="1:13" s="116" customFormat="1" ht="18" customHeight="1" x14ac:dyDescent="0.35">
      <c r="A55" s="16"/>
      <c r="B55" s="497" t="s">
        <v>68</v>
      </c>
      <c r="C55" s="28" t="s">
        <v>1</v>
      </c>
      <c r="D55" s="15" t="s">
        <v>36</v>
      </c>
      <c r="E55" s="15" t="s">
        <v>69</v>
      </c>
      <c r="F55" s="676"/>
      <c r="G55" s="677"/>
      <c r="H55" s="677"/>
      <c r="I55" s="678"/>
      <c r="J55" s="15"/>
      <c r="K55" s="29">
        <f>K66+K61</f>
        <v>67926.883399999992</v>
      </c>
      <c r="L55" s="29">
        <f>L66+L61+L90+L56</f>
        <v>7759.7000000000025</v>
      </c>
      <c r="M55" s="29">
        <f>M66+M61+M90+M56</f>
        <v>75686.583399999989</v>
      </c>
    </row>
    <row r="56" spans="1:13" s="116" customFormat="1" ht="72" x14ac:dyDescent="0.35">
      <c r="A56" s="16"/>
      <c r="B56" s="578" t="s">
        <v>328</v>
      </c>
      <c r="C56" s="28" t="s">
        <v>1</v>
      </c>
      <c r="D56" s="15" t="s">
        <v>36</v>
      </c>
      <c r="E56" s="15" t="s">
        <v>69</v>
      </c>
      <c r="F56" s="676" t="s">
        <v>102</v>
      </c>
      <c r="G56" s="677" t="s">
        <v>41</v>
      </c>
      <c r="H56" s="677" t="s">
        <v>42</v>
      </c>
      <c r="I56" s="678" t="s">
        <v>43</v>
      </c>
      <c r="J56" s="15"/>
      <c r="K56" s="29"/>
      <c r="L56" s="29">
        <f t="shared" ref="L56:M59" si="14">L57</f>
        <v>144</v>
      </c>
      <c r="M56" s="29">
        <f t="shared" si="14"/>
        <v>144</v>
      </c>
    </row>
    <row r="57" spans="1:13" s="116" customFormat="1" ht="36" x14ac:dyDescent="0.35">
      <c r="A57" s="16"/>
      <c r="B57" s="578" t="s">
        <v>686</v>
      </c>
      <c r="C57" s="28" t="s">
        <v>1</v>
      </c>
      <c r="D57" s="15" t="s">
        <v>36</v>
      </c>
      <c r="E57" s="15" t="s">
        <v>69</v>
      </c>
      <c r="F57" s="676" t="s">
        <v>102</v>
      </c>
      <c r="G57" s="677" t="s">
        <v>629</v>
      </c>
      <c r="H57" s="677" t="s">
        <v>42</v>
      </c>
      <c r="I57" s="678" t="s">
        <v>43</v>
      </c>
      <c r="J57" s="15"/>
      <c r="K57" s="29"/>
      <c r="L57" s="29">
        <f t="shared" si="14"/>
        <v>144</v>
      </c>
      <c r="M57" s="29">
        <f t="shared" si="14"/>
        <v>144</v>
      </c>
    </row>
    <row r="58" spans="1:13" s="116" customFormat="1" ht="36" x14ac:dyDescent="0.35">
      <c r="A58" s="16"/>
      <c r="B58" s="578" t="s">
        <v>687</v>
      </c>
      <c r="C58" s="28" t="s">
        <v>1</v>
      </c>
      <c r="D58" s="15" t="s">
        <v>36</v>
      </c>
      <c r="E58" s="15" t="s">
        <v>69</v>
      </c>
      <c r="F58" s="676" t="s">
        <v>102</v>
      </c>
      <c r="G58" s="677" t="s">
        <v>629</v>
      </c>
      <c r="H58" s="677" t="s">
        <v>36</v>
      </c>
      <c r="I58" s="678" t="s">
        <v>43</v>
      </c>
      <c r="J58" s="15"/>
      <c r="K58" s="29"/>
      <c r="L58" s="29">
        <f t="shared" si="14"/>
        <v>144</v>
      </c>
      <c r="M58" s="29">
        <f t="shared" si="14"/>
        <v>144</v>
      </c>
    </row>
    <row r="59" spans="1:13" s="116" customFormat="1" ht="72" x14ac:dyDescent="0.35">
      <c r="A59" s="16"/>
      <c r="B59" s="578" t="s">
        <v>688</v>
      </c>
      <c r="C59" s="28" t="s">
        <v>1</v>
      </c>
      <c r="D59" s="15" t="s">
        <v>36</v>
      </c>
      <c r="E59" s="15" t="s">
        <v>69</v>
      </c>
      <c r="F59" s="676" t="s">
        <v>102</v>
      </c>
      <c r="G59" s="677" t="s">
        <v>629</v>
      </c>
      <c r="H59" s="677" t="s">
        <v>36</v>
      </c>
      <c r="I59" s="678" t="s">
        <v>689</v>
      </c>
      <c r="J59" s="15"/>
      <c r="K59" s="29"/>
      <c r="L59" s="29">
        <f t="shared" si="14"/>
        <v>144</v>
      </c>
      <c r="M59" s="29">
        <f t="shared" si="14"/>
        <v>144</v>
      </c>
    </row>
    <row r="60" spans="1:13" s="116" customFormat="1" ht="54" x14ac:dyDescent="0.35">
      <c r="A60" s="16"/>
      <c r="B60" s="578" t="s">
        <v>53</v>
      </c>
      <c r="C60" s="28" t="s">
        <v>1</v>
      </c>
      <c r="D60" s="15" t="s">
        <v>36</v>
      </c>
      <c r="E60" s="15" t="s">
        <v>69</v>
      </c>
      <c r="F60" s="676" t="s">
        <v>102</v>
      </c>
      <c r="G60" s="677" t="s">
        <v>629</v>
      </c>
      <c r="H60" s="677" t="s">
        <v>36</v>
      </c>
      <c r="I60" s="678" t="s">
        <v>689</v>
      </c>
      <c r="J60" s="15" t="s">
        <v>54</v>
      </c>
      <c r="K60" s="29"/>
      <c r="L60" s="29">
        <f>M60-K60</f>
        <v>144</v>
      </c>
      <c r="M60" s="29">
        <v>144</v>
      </c>
    </row>
    <row r="61" spans="1:13" s="116" customFormat="1" ht="72" customHeight="1" x14ac:dyDescent="0.35">
      <c r="A61" s="16"/>
      <c r="B61" s="497" t="s">
        <v>70</v>
      </c>
      <c r="C61" s="28" t="s">
        <v>1</v>
      </c>
      <c r="D61" s="15" t="s">
        <v>36</v>
      </c>
      <c r="E61" s="15" t="s">
        <v>69</v>
      </c>
      <c r="F61" s="676" t="s">
        <v>71</v>
      </c>
      <c r="G61" s="677" t="s">
        <v>41</v>
      </c>
      <c r="H61" s="677" t="s">
        <v>42</v>
      </c>
      <c r="I61" s="678" t="s">
        <v>43</v>
      </c>
      <c r="J61" s="15"/>
      <c r="K61" s="29">
        <f t="shared" ref="K61:M64" si="15">K62</f>
        <v>422.4</v>
      </c>
      <c r="L61" s="29">
        <f t="shared" si="15"/>
        <v>0</v>
      </c>
      <c r="M61" s="29">
        <f t="shared" si="15"/>
        <v>422.4</v>
      </c>
    </row>
    <row r="62" spans="1:13" s="116" customFormat="1" ht="36" customHeight="1" x14ac:dyDescent="0.35">
      <c r="A62" s="16"/>
      <c r="B62" s="497" t="s">
        <v>335</v>
      </c>
      <c r="C62" s="28" t="s">
        <v>1</v>
      </c>
      <c r="D62" s="15" t="s">
        <v>36</v>
      </c>
      <c r="E62" s="15" t="s">
        <v>69</v>
      </c>
      <c r="F62" s="676" t="s">
        <v>71</v>
      </c>
      <c r="G62" s="677" t="s">
        <v>44</v>
      </c>
      <c r="H62" s="677" t="s">
        <v>42</v>
      </c>
      <c r="I62" s="678" t="s">
        <v>43</v>
      </c>
      <c r="J62" s="15"/>
      <c r="K62" s="29">
        <f t="shared" si="15"/>
        <v>422.4</v>
      </c>
      <c r="L62" s="29">
        <f t="shared" si="15"/>
        <v>0</v>
      </c>
      <c r="M62" s="29">
        <f t="shared" si="15"/>
        <v>422.4</v>
      </c>
    </row>
    <row r="63" spans="1:13" s="116" customFormat="1" ht="54" customHeight="1" x14ac:dyDescent="0.35">
      <c r="A63" s="16"/>
      <c r="B63" s="529" t="s">
        <v>262</v>
      </c>
      <c r="C63" s="28" t="s">
        <v>1</v>
      </c>
      <c r="D63" s="15" t="s">
        <v>36</v>
      </c>
      <c r="E63" s="15" t="s">
        <v>69</v>
      </c>
      <c r="F63" s="676" t="s">
        <v>71</v>
      </c>
      <c r="G63" s="677" t="s">
        <v>44</v>
      </c>
      <c r="H63" s="677" t="s">
        <v>36</v>
      </c>
      <c r="I63" s="678" t="s">
        <v>43</v>
      </c>
      <c r="J63" s="15"/>
      <c r="K63" s="29">
        <f t="shared" si="15"/>
        <v>422.4</v>
      </c>
      <c r="L63" s="29">
        <f t="shared" si="15"/>
        <v>0</v>
      </c>
      <c r="M63" s="29">
        <f t="shared" si="15"/>
        <v>422.4</v>
      </c>
    </row>
    <row r="64" spans="1:13" s="116" customFormat="1" ht="54" customHeight="1" x14ac:dyDescent="0.35">
      <c r="A64" s="16"/>
      <c r="B64" s="529" t="s">
        <v>72</v>
      </c>
      <c r="C64" s="28" t="s">
        <v>1</v>
      </c>
      <c r="D64" s="15" t="s">
        <v>36</v>
      </c>
      <c r="E64" s="15" t="s">
        <v>69</v>
      </c>
      <c r="F64" s="676" t="s">
        <v>71</v>
      </c>
      <c r="G64" s="677" t="s">
        <v>44</v>
      </c>
      <c r="H64" s="677" t="s">
        <v>36</v>
      </c>
      <c r="I64" s="678" t="s">
        <v>73</v>
      </c>
      <c r="J64" s="15"/>
      <c r="K64" s="29">
        <f>K65</f>
        <v>422.4</v>
      </c>
      <c r="L64" s="29">
        <f t="shared" si="15"/>
        <v>0</v>
      </c>
      <c r="M64" s="29">
        <f>M65</f>
        <v>422.4</v>
      </c>
    </row>
    <row r="65" spans="1:13" s="116" customFormat="1" ht="54" customHeight="1" x14ac:dyDescent="0.35">
      <c r="A65" s="16"/>
      <c r="B65" s="504" t="s">
        <v>74</v>
      </c>
      <c r="C65" s="28" t="s">
        <v>1</v>
      </c>
      <c r="D65" s="15" t="s">
        <v>36</v>
      </c>
      <c r="E65" s="15" t="s">
        <v>69</v>
      </c>
      <c r="F65" s="676" t="s">
        <v>71</v>
      </c>
      <c r="G65" s="677" t="s">
        <v>44</v>
      </c>
      <c r="H65" s="677" t="s">
        <v>36</v>
      </c>
      <c r="I65" s="678" t="s">
        <v>73</v>
      </c>
      <c r="J65" s="15" t="s">
        <v>75</v>
      </c>
      <c r="K65" s="29">
        <v>422.4</v>
      </c>
      <c r="L65" s="29">
        <f>M65-K65</f>
        <v>0</v>
      </c>
      <c r="M65" s="29">
        <v>422.4</v>
      </c>
    </row>
    <row r="66" spans="1:13" s="116" customFormat="1" ht="54" customHeight="1" x14ac:dyDescent="0.35">
      <c r="A66" s="16"/>
      <c r="B66" s="497" t="s">
        <v>39</v>
      </c>
      <c r="C66" s="28" t="s">
        <v>1</v>
      </c>
      <c r="D66" s="15" t="s">
        <v>36</v>
      </c>
      <c r="E66" s="15" t="s">
        <v>69</v>
      </c>
      <c r="F66" s="676" t="s">
        <v>40</v>
      </c>
      <c r="G66" s="677" t="s">
        <v>41</v>
      </c>
      <c r="H66" s="677" t="s">
        <v>42</v>
      </c>
      <c r="I66" s="678" t="s">
        <v>43</v>
      </c>
      <c r="J66" s="15"/>
      <c r="K66" s="29">
        <f>K67</f>
        <v>67504.483399999997</v>
      </c>
      <c r="L66" s="29">
        <f t="shared" ref="L66" si="16">L67</f>
        <v>360.70000000000255</v>
      </c>
      <c r="M66" s="29">
        <f>M67</f>
        <v>67865.183399999994</v>
      </c>
    </row>
    <row r="67" spans="1:13" s="116" customFormat="1" ht="36" customHeight="1" x14ac:dyDescent="0.35">
      <c r="A67" s="16"/>
      <c r="B67" s="497" t="s">
        <v>335</v>
      </c>
      <c r="C67" s="28" t="s">
        <v>1</v>
      </c>
      <c r="D67" s="15" t="s">
        <v>36</v>
      </c>
      <c r="E67" s="15" t="s">
        <v>69</v>
      </c>
      <c r="F67" s="676" t="s">
        <v>40</v>
      </c>
      <c r="G67" s="677" t="s">
        <v>44</v>
      </c>
      <c r="H67" s="677" t="s">
        <v>42</v>
      </c>
      <c r="I67" s="678" t="s">
        <v>43</v>
      </c>
      <c r="J67" s="15"/>
      <c r="K67" s="29">
        <f>K68+K75+K71+K83+K80</f>
        <v>67504.483399999997</v>
      </c>
      <c r="L67" s="29">
        <f>L68+L75+L71+L83+L80</f>
        <v>360.70000000000255</v>
      </c>
      <c r="M67" s="29">
        <f>M68+M75+M71+M83+M80</f>
        <v>67865.183399999994</v>
      </c>
    </row>
    <row r="68" spans="1:13" s="116" customFormat="1" ht="36" customHeight="1" x14ac:dyDescent="0.35">
      <c r="A68" s="16"/>
      <c r="B68" s="497" t="s">
        <v>52</v>
      </c>
      <c r="C68" s="28" t="s">
        <v>1</v>
      </c>
      <c r="D68" s="15" t="s">
        <v>36</v>
      </c>
      <c r="E68" s="15" t="s">
        <v>69</v>
      </c>
      <c r="F68" s="676" t="s">
        <v>40</v>
      </c>
      <c r="G68" s="677" t="s">
        <v>44</v>
      </c>
      <c r="H68" s="677" t="s">
        <v>38</v>
      </c>
      <c r="I68" s="678" t="s">
        <v>43</v>
      </c>
      <c r="J68" s="15"/>
      <c r="K68" s="29">
        <f>K69</f>
        <v>63.4</v>
      </c>
      <c r="L68" s="29">
        <f t="shared" ref="L68:L69" si="17">L69</f>
        <v>0</v>
      </c>
      <c r="M68" s="29">
        <f>M69</f>
        <v>63.4</v>
      </c>
    </row>
    <row r="69" spans="1:13" s="116" customFormat="1" ht="18" x14ac:dyDescent="0.35">
      <c r="A69" s="16"/>
      <c r="B69" s="497" t="s">
        <v>577</v>
      </c>
      <c r="C69" s="28" t="s">
        <v>1</v>
      </c>
      <c r="D69" s="15" t="s">
        <v>36</v>
      </c>
      <c r="E69" s="15" t="s">
        <v>69</v>
      </c>
      <c r="F69" s="676" t="s">
        <v>40</v>
      </c>
      <c r="G69" s="677" t="s">
        <v>44</v>
      </c>
      <c r="H69" s="677" t="s">
        <v>38</v>
      </c>
      <c r="I69" s="678" t="s">
        <v>578</v>
      </c>
      <c r="J69" s="15"/>
      <c r="K69" s="29">
        <f>K70</f>
        <v>63.4</v>
      </c>
      <c r="L69" s="29">
        <f t="shared" si="17"/>
        <v>0</v>
      </c>
      <c r="M69" s="29">
        <f>M70</f>
        <v>63.4</v>
      </c>
    </row>
    <row r="70" spans="1:13" s="116" customFormat="1" ht="61.2" customHeight="1" x14ac:dyDescent="0.35">
      <c r="A70" s="16"/>
      <c r="B70" s="497" t="s">
        <v>53</v>
      </c>
      <c r="C70" s="28" t="s">
        <v>1</v>
      </c>
      <c r="D70" s="15" t="s">
        <v>36</v>
      </c>
      <c r="E70" s="15" t="s">
        <v>69</v>
      </c>
      <c r="F70" s="676" t="s">
        <v>40</v>
      </c>
      <c r="G70" s="677" t="s">
        <v>44</v>
      </c>
      <c r="H70" s="677" t="s">
        <v>38</v>
      </c>
      <c r="I70" s="678" t="s">
        <v>578</v>
      </c>
      <c r="J70" s="15" t="s">
        <v>54</v>
      </c>
      <c r="K70" s="29">
        <v>63.4</v>
      </c>
      <c r="L70" s="29">
        <f>M70-K70</f>
        <v>0</v>
      </c>
      <c r="M70" s="29">
        <v>63.4</v>
      </c>
    </row>
    <row r="71" spans="1:13" s="116" customFormat="1" ht="18" customHeight="1" x14ac:dyDescent="0.35">
      <c r="A71" s="16"/>
      <c r="B71" s="504" t="s">
        <v>60</v>
      </c>
      <c r="C71" s="28" t="s">
        <v>1</v>
      </c>
      <c r="D71" s="15" t="s">
        <v>36</v>
      </c>
      <c r="E71" s="15" t="s">
        <v>69</v>
      </c>
      <c r="F71" s="676" t="s">
        <v>40</v>
      </c>
      <c r="G71" s="677" t="s">
        <v>44</v>
      </c>
      <c r="H71" s="677" t="s">
        <v>61</v>
      </c>
      <c r="I71" s="678" t="s">
        <v>43</v>
      </c>
      <c r="J71" s="15"/>
      <c r="K71" s="29">
        <f>K72</f>
        <v>3484.1</v>
      </c>
      <c r="L71" s="29">
        <f t="shared" ref="L71" si="18">L72</f>
        <v>0</v>
      </c>
      <c r="M71" s="29">
        <f>M72</f>
        <v>3484.1</v>
      </c>
    </row>
    <row r="72" spans="1:13" s="116" customFormat="1" ht="67.5" customHeight="1" x14ac:dyDescent="0.35">
      <c r="A72" s="16"/>
      <c r="B72" s="504" t="s">
        <v>375</v>
      </c>
      <c r="C72" s="28" t="s">
        <v>1</v>
      </c>
      <c r="D72" s="15" t="s">
        <v>36</v>
      </c>
      <c r="E72" s="15" t="s">
        <v>69</v>
      </c>
      <c r="F72" s="676" t="s">
        <v>40</v>
      </c>
      <c r="G72" s="677" t="s">
        <v>44</v>
      </c>
      <c r="H72" s="677" t="s">
        <v>61</v>
      </c>
      <c r="I72" s="678" t="s">
        <v>374</v>
      </c>
      <c r="J72" s="15"/>
      <c r="K72" s="29">
        <f>K73+K74</f>
        <v>3484.1</v>
      </c>
      <c r="L72" s="29">
        <f t="shared" ref="L72" si="19">L73+L74</f>
        <v>0</v>
      </c>
      <c r="M72" s="29">
        <f>M73+M74</f>
        <v>3484.1</v>
      </c>
    </row>
    <row r="73" spans="1:13" s="116" customFormat="1" ht="54" customHeight="1" x14ac:dyDescent="0.35">
      <c r="A73" s="16"/>
      <c r="B73" s="497" t="s">
        <v>53</v>
      </c>
      <c r="C73" s="28" t="s">
        <v>1</v>
      </c>
      <c r="D73" s="15" t="s">
        <v>36</v>
      </c>
      <c r="E73" s="15" t="s">
        <v>69</v>
      </c>
      <c r="F73" s="676" t="s">
        <v>40</v>
      </c>
      <c r="G73" s="677" t="s">
        <v>44</v>
      </c>
      <c r="H73" s="677" t="s">
        <v>61</v>
      </c>
      <c r="I73" s="678" t="s">
        <v>374</v>
      </c>
      <c r="J73" s="15" t="s">
        <v>54</v>
      </c>
      <c r="K73" s="29">
        <f>2587.7+360+312.6</f>
        <v>3260.2999999999997</v>
      </c>
      <c r="L73" s="29">
        <f>M73-K73</f>
        <v>0</v>
      </c>
      <c r="M73" s="29">
        <f>2587.7+360+312.6</f>
        <v>3260.2999999999997</v>
      </c>
    </row>
    <row r="74" spans="1:13" s="116" customFormat="1" ht="18" customHeight="1" x14ac:dyDescent="0.35">
      <c r="A74" s="16"/>
      <c r="B74" s="497" t="s">
        <v>55</v>
      </c>
      <c r="C74" s="28" t="s">
        <v>1</v>
      </c>
      <c r="D74" s="15" t="s">
        <v>36</v>
      </c>
      <c r="E74" s="15" t="s">
        <v>69</v>
      </c>
      <c r="F74" s="676" t="s">
        <v>40</v>
      </c>
      <c r="G74" s="677" t="s">
        <v>44</v>
      </c>
      <c r="H74" s="677" t="s">
        <v>61</v>
      </c>
      <c r="I74" s="678" t="s">
        <v>374</v>
      </c>
      <c r="J74" s="15" t="s">
        <v>56</v>
      </c>
      <c r="K74" s="29">
        <v>223.8</v>
      </c>
      <c r="L74" s="29">
        <f>M74-K74</f>
        <v>0</v>
      </c>
      <c r="M74" s="29">
        <v>223.8</v>
      </c>
    </row>
    <row r="75" spans="1:13" s="116" customFormat="1" ht="18" customHeight="1" x14ac:dyDescent="0.35">
      <c r="A75" s="16"/>
      <c r="B75" s="497" t="s">
        <v>62</v>
      </c>
      <c r="C75" s="28" t="s">
        <v>1</v>
      </c>
      <c r="D75" s="15" t="s">
        <v>36</v>
      </c>
      <c r="E75" s="15" t="s">
        <v>69</v>
      </c>
      <c r="F75" s="676" t="s">
        <v>40</v>
      </c>
      <c r="G75" s="677" t="s">
        <v>44</v>
      </c>
      <c r="H75" s="677" t="s">
        <v>50</v>
      </c>
      <c r="I75" s="678" t="s">
        <v>43</v>
      </c>
      <c r="J75" s="15"/>
      <c r="K75" s="29">
        <f>K76+K78</f>
        <v>6919.5</v>
      </c>
      <c r="L75" s="29">
        <f t="shared" ref="L75" si="20">L76+L78</f>
        <v>207.60000000000036</v>
      </c>
      <c r="M75" s="29">
        <f>M76+M78</f>
        <v>7127.1</v>
      </c>
    </row>
    <row r="76" spans="1:13" s="116" customFormat="1" ht="69" customHeight="1" x14ac:dyDescent="0.35">
      <c r="A76" s="16"/>
      <c r="B76" s="545" t="s">
        <v>348</v>
      </c>
      <c r="C76" s="28" t="s">
        <v>1</v>
      </c>
      <c r="D76" s="15" t="s">
        <v>36</v>
      </c>
      <c r="E76" s="15" t="s">
        <v>69</v>
      </c>
      <c r="F76" s="676" t="s">
        <v>40</v>
      </c>
      <c r="G76" s="677" t="s">
        <v>44</v>
      </c>
      <c r="H76" s="677" t="s">
        <v>50</v>
      </c>
      <c r="I76" s="678" t="s">
        <v>103</v>
      </c>
      <c r="J76" s="15"/>
      <c r="K76" s="29">
        <f>K77</f>
        <v>4830.5</v>
      </c>
      <c r="L76" s="29">
        <f t="shared" ref="L76" si="21">L77</f>
        <v>207.60000000000036</v>
      </c>
      <c r="M76" s="29">
        <f>M77</f>
        <v>5038.1000000000004</v>
      </c>
    </row>
    <row r="77" spans="1:13" s="116" customFormat="1" ht="54" customHeight="1" x14ac:dyDescent="0.35">
      <c r="A77" s="16"/>
      <c r="B77" s="497" t="s">
        <v>53</v>
      </c>
      <c r="C77" s="28" t="s">
        <v>1</v>
      </c>
      <c r="D77" s="15" t="s">
        <v>36</v>
      </c>
      <c r="E77" s="15" t="s">
        <v>69</v>
      </c>
      <c r="F77" s="676" t="s">
        <v>40</v>
      </c>
      <c r="G77" s="677" t="s">
        <v>44</v>
      </c>
      <c r="H77" s="677" t="s">
        <v>50</v>
      </c>
      <c r="I77" s="678" t="s">
        <v>103</v>
      </c>
      <c r="J77" s="15" t="s">
        <v>54</v>
      </c>
      <c r="K77" s="29">
        <f>4415.4+320+95.1</f>
        <v>4830.5</v>
      </c>
      <c r="L77" s="29">
        <f>M77-K77</f>
        <v>207.60000000000036</v>
      </c>
      <c r="M77" s="29">
        <f>4415.4+320+95.1+207.6</f>
        <v>5038.1000000000004</v>
      </c>
    </row>
    <row r="78" spans="1:13" s="116" customFormat="1" ht="54" customHeight="1" x14ac:dyDescent="0.35">
      <c r="A78" s="16"/>
      <c r="B78" s="497" t="s">
        <v>350</v>
      </c>
      <c r="C78" s="28" t="s">
        <v>1</v>
      </c>
      <c r="D78" s="15" t="s">
        <v>36</v>
      </c>
      <c r="E78" s="15" t="s">
        <v>69</v>
      </c>
      <c r="F78" s="676" t="s">
        <v>40</v>
      </c>
      <c r="G78" s="677" t="s">
        <v>44</v>
      </c>
      <c r="H78" s="677" t="s">
        <v>50</v>
      </c>
      <c r="I78" s="678" t="s">
        <v>349</v>
      </c>
      <c r="J78" s="15"/>
      <c r="K78" s="29">
        <f>K79</f>
        <v>2089</v>
      </c>
      <c r="L78" s="29">
        <f t="shared" ref="L78" si="22">L79</f>
        <v>0</v>
      </c>
      <c r="M78" s="29">
        <f>M79</f>
        <v>2089</v>
      </c>
    </row>
    <row r="79" spans="1:13" s="116" customFormat="1" ht="54" customHeight="1" x14ac:dyDescent="0.35">
      <c r="A79" s="16"/>
      <c r="B79" s="497" t="s">
        <v>53</v>
      </c>
      <c r="C79" s="28" t="s">
        <v>1</v>
      </c>
      <c r="D79" s="15" t="s">
        <v>36</v>
      </c>
      <c r="E79" s="15" t="s">
        <v>69</v>
      </c>
      <c r="F79" s="676" t="s">
        <v>40</v>
      </c>
      <c r="G79" s="677" t="s">
        <v>44</v>
      </c>
      <c r="H79" s="677" t="s">
        <v>50</v>
      </c>
      <c r="I79" s="678" t="s">
        <v>349</v>
      </c>
      <c r="J79" s="15" t="s">
        <v>54</v>
      </c>
      <c r="K79" s="29">
        <f>2089</f>
        <v>2089</v>
      </c>
      <c r="L79" s="29">
        <f>M79-K79</f>
        <v>0</v>
      </c>
      <c r="M79" s="29">
        <f>2089</f>
        <v>2089</v>
      </c>
    </row>
    <row r="80" spans="1:13" s="116" customFormat="1" ht="36" x14ac:dyDescent="0.35">
      <c r="A80" s="16"/>
      <c r="B80" s="578" t="s">
        <v>370</v>
      </c>
      <c r="C80" s="28" t="s">
        <v>1</v>
      </c>
      <c r="D80" s="15" t="s">
        <v>36</v>
      </c>
      <c r="E80" s="15" t="s">
        <v>69</v>
      </c>
      <c r="F80" s="676" t="s">
        <v>40</v>
      </c>
      <c r="G80" s="677" t="s">
        <v>44</v>
      </c>
      <c r="H80" s="677" t="s">
        <v>632</v>
      </c>
      <c r="I80" s="678" t="s">
        <v>43</v>
      </c>
      <c r="J80" s="15"/>
      <c r="K80" s="29">
        <f t="shared" ref="K80:M81" si="23">K81</f>
        <v>1921.9</v>
      </c>
      <c r="L80" s="29">
        <f t="shared" si="23"/>
        <v>0</v>
      </c>
      <c r="M80" s="29">
        <f t="shared" si="23"/>
        <v>1921.9</v>
      </c>
    </row>
    <row r="81" spans="1:13" s="116" customFormat="1" ht="36" x14ac:dyDescent="0.35">
      <c r="A81" s="16"/>
      <c r="B81" s="578" t="s">
        <v>333</v>
      </c>
      <c r="C81" s="28" t="s">
        <v>1</v>
      </c>
      <c r="D81" s="15" t="s">
        <v>36</v>
      </c>
      <c r="E81" s="15" t="s">
        <v>69</v>
      </c>
      <c r="F81" s="676" t="s">
        <v>40</v>
      </c>
      <c r="G81" s="677" t="s">
        <v>44</v>
      </c>
      <c r="H81" s="677" t="s">
        <v>632</v>
      </c>
      <c r="I81" s="678" t="s">
        <v>332</v>
      </c>
      <c r="J81" s="15"/>
      <c r="K81" s="29">
        <f t="shared" si="23"/>
        <v>1921.9</v>
      </c>
      <c r="L81" s="29">
        <f t="shared" si="23"/>
        <v>0</v>
      </c>
      <c r="M81" s="29">
        <f t="shared" si="23"/>
        <v>1921.9</v>
      </c>
    </row>
    <row r="82" spans="1:13" s="116" customFormat="1" ht="18" x14ac:dyDescent="0.35">
      <c r="A82" s="16"/>
      <c r="B82" s="497" t="s">
        <v>55</v>
      </c>
      <c r="C82" s="28" t="s">
        <v>1</v>
      </c>
      <c r="D82" s="15" t="s">
        <v>36</v>
      </c>
      <c r="E82" s="15" t="s">
        <v>69</v>
      </c>
      <c r="F82" s="676" t="s">
        <v>40</v>
      </c>
      <c r="G82" s="677" t="s">
        <v>44</v>
      </c>
      <c r="H82" s="677" t="s">
        <v>632</v>
      </c>
      <c r="I82" s="678" t="s">
        <v>332</v>
      </c>
      <c r="J82" s="15" t="s">
        <v>56</v>
      </c>
      <c r="K82" s="29">
        <v>1921.9</v>
      </c>
      <c r="L82" s="29">
        <f>M82-K82</f>
        <v>0</v>
      </c>
      <c r="M82" s="29">
        <v>1921.9</v>
      </c>
    </row>
    <row r="83" spans="1:13" s="116" customFormat="1" ht="100.5" customHeight="1" x14ac:dyDescent="0.35">
      <c r="A83" s="16"/>
      <c r="B83" s="497" t="s">
        <v>528</v>
      </c>
      <c r="C83" s="28" t="s">
        <v>1</v>
      </c>
      <c r="D83" s="15" t="s">
        <v>36</v>
      </c>
      <c r="E83" s="15" t="s">
        <v>69</v>
      </c>
      <c r="F83" s="676" t="s">
        <v>40</v>
      </c>
      <c r="G83" s="677" t="s">
        <v>44</v>
      </c>
      <c r="H83" s="677" t="s">
        <v>526</v>
      </c>
      <c r="I83" s="678" t="s">
        <v>43</v>
      </c>
      <c r="J83" s="15"/>
      <c r="K83" s="29">
        <f>K84+K88</f>
        <v>55115.583399999996</v>
      </c>
      <c r="L83" s="29">
        <f>L84+L88</f>
        <v>153.10000000000218</v>
      </c>
      <c r="M83" s="29">
        <f>M84+M88</f>
        <v>55268.683400000002</v>
      </c>
    </row>
    <row r="84" spans="1:13" s="116" customFormat="1" ht="36" customHeight="1" x14ac:dyDescent="0.35">
      <c r="A84" s="16"/>
      <c r="B84" s="529" t="s">
        <v>454</v>
      </c>
      <c r="C84" s="28" t="s">
        <v>1</v>
      </c>
      <c r="D84" s="15" t="s">
        <v>36</v>
      </c>
      <c r="E84" s="15" t="s">
        <v>69</v>
      </c>
      <c r="F84" s="676" t="s">
        <v>40</v>
      </c>
      <c r="G84" s="677" t="s">
        <v>44</v>
      </c>
      <c r="H84" s="677" t="s">
        <v>526</v>
      </c>
      <c r="I84" s="678" t="s">
        <v>89</v>
      </c>
      <c r="J84" s="15"/>
      <c r="K84" s="29">
        <f>SUM(K85:K87)</f>
        <v>50115.583399999996</v>
      </c>
      <c r="L84" s="29">
        <f>SUM(L85:L87)</f>
        <v>153.10000000000218</v>
      </c>
      <c r="M84" s="29">
        <f>SUM(M85:M87)</f>
        <v>50268.683400000002</v>
      </c>
    </row>
    <row r="85" spans="1:13" s="116" customFormat="1" ht="108" customHeight="1" x14ac:dyDescent="0.35">
      <c r="A85" s="16"/>
      <c r="B85" s="497" t="s">
        <v>48</v>
      </c>
      <c r="C85" s="28" t="s">
        <v>1</v>
      </c>
      <c r="D85" s="15" t="s">
        <v>36</v>
      </c>
      <c r="E85" s="15" t="s">
        <v>69</v>
      </c>
      <c r="F85" s="676" t="s">
        <v>40</v>
      </c>
      <c r="G85" s="677" t="s">
        <v>44</v>
      </c>
      <c r="H85" s="677" t="s">
        <v>526</v>
      </c>
      <c r="I85" s="678" t="s">
        <v>89</v>
      </c>
      <c r="J85" s="15" t="s">
        <v>49</v>
      </c>
      <c r="K85" s="29">
        <f>34656.6+209.2+286.4+1782.6+335.5</f>
        <v>37270.299999999996</v>
      </c>
      <c r="L85" s="29">
        <f>M85-K85</f>
        <v>10.900000000001455</v>
      </c>
      <c r="M85" s="29">
        <f>34656.6+209.2+286.4+1782.6+335.5+10.9</f>
        <v>37281.199999999997</v>
      </c>
    </row>
    <row r="86" spans="1:13" s="116" customFormat="1" ht="54" customHeight="1" x14ac:dyDescent="0.35">
      <c r="A86" s="16"/>
      <c r="B86" s="497" t="s">
        <v>53</v>
      </c>
      <c r="C86" s="28" t="s">
        <v>1</v>
      </c>
      <c r="D86" s="15" t="s">
        <v>36</v>
      </c>
      <c r="E86" s="15" t="s">
        <v>69</v>
      </c>
      <c r="F86" s="676" t="s">
        <v>40</v>
      </c>
      <c r="G86" s="677" t="s">
        <v>44</v>
      </c>
      <c r="H86" s="677" t="s">
        <v>526</v>
      </c>
      <c r="I86" s="678" t="s">
        <v>89</v>
      </c>
      <c r="J86" s="15" t="s">
        <v>54</v>
      </c>
      <c r="K86" s="29">
        <f>8362.6+115.5+504+2000+0.1834+440.1+1225.7+109.3</f>
        <v>12757.383400000001</v>
      </c>
      <c r="L86" s="29">
        <f>M86-K86</f>
        <v>142.20000000000073</v>
      </c>
      <c r="M86" s="29">
        <f>8362.6+115.5+504+2000+0.1834+440.1+1225.7+109.3+56.7+85.5</f>
        <v>12899.583400000001</v>
      </c>
    </row>
    <row r="87" spans="1:13" s="116" customFormat="1" ht="18" customHeight="1" x14ac:dyDescent="0.35">
      <c r="A87" s="16"/>
      <c r="B87" s="497" t="s">
        <v>55</v>
      </c>
      <c r="C87" s="28" t="s">
        <v>1</v>
      </c>
      <c r="D87" s="15" t="s">
        <v>36</v>
      </c>
      <c r="E87" s="15" t="s">
        <v>69</v>
      </c>
      <c r="F87" s="676" t="s">
        <v>40</v>
      </c>
      <c r="G87" s="677" t="s">
        <v>44</v>
      </c>
      <c r="H87" s="677" t="s">
        <v>526</v>
      </c>
      <c r="I87" s="678" t="s">
        <v>89</v>
      </c>
      <c r="J87" s="15" t="s">
        <v>56</v>
      </c>
      <c r="K87" s="29">
        <v>87.9</v>
      </c>
      <c r="L87" s="29">
        <f>M87-K87</f>
        <v>0</v>
      </c>
      <c r="M87" s="29">
        <v>87.9</v>
      </c>
    </row>
    <row r="88" spans="1:13" s="116" customFormat="1" ht="18" customHeight="1" x14ac:dyDescent="0.35">
      <c r="A88" s="16"/>
      <c r="B88" s="497" t="s">
        <v>455</v>
      </c>
      <c r="C88" s="28" t="s">
        <v>1</v>
      </c>
      <c r="D88" s="15" t="s">
        <v>36</v>
      </c>
      <c r="E88" s="15" t="s">
        <v>69</v>
      </c>
      <c r="F88" s="676" t="s">
        <v>40</v>
      </c>
      <c r="G88" s="677" t="s">
        <v>44</v>
      </c>
      <c r="H88" s="677" t="s">
        <v>526</v>
      </c>
      <c r="I88" s="678" t="s">
        <v>376</v>
      </c>
      <c r="J88" s="15"/>
      <c r="K88" s="29">
        <f>K89</f>
        <v>5000</v>
      </c>
      <c r="L88" s="29">
        <f>L89</f>
        <v>0</v>
      </c>
      <c r="M88" s="29">
        <f>M89</f>
        <v>5000</v>
      </c>
    </row>
    <row r="89" spans="1:13" s="116" customFormat="1" ht="54" x14ac:dyDescent="0.35">
      <c r="A89" s="16"/>
      <c r="B89" s="497" t="s">
        <v>53</v>
      </c>
      <c r="C89" s="28" t="s">
        <v>1</v>
      </c>
      <c r="D89" s="15" t="s">
        <v>36</v>
      </c>
      <c r="E89" s="15" t="s">
        <v>69</v>
      </c>
      <c r="F89" s="676" t="s">
        <v>40</v>
      </c>
      <c r="G89" s="677" t="s">
        <v>44</v>
      </c>
      <c r="H89" s="677" t="s">
        <v>526</v>
      </c>
      <c r="I89" s="678" t="s">
        <v>376</v>
      </c>
      <c r="J89" s="15" t="s">
        <v>54</v>
      </c>
      <c r="K89" s="29">
        <v>5000</v>
      </c>
      <c r="L89" s="29">
        <f>M89-K89</f>
        <v>0</v>
      </c>
      <c r="M89" s="29">
        <v>5000</v>
      </c>
    </row>
    <row r="90" spans="1:13" s="116" customFormat="1" ht="36" x14ac:dyDescent="0.35">
      <c r="A90" s="16"/>
      <c r="B90" s="578" t="s">
        <v>436</v>
      </c>
      <c r="C90" s="28" t="s">
        <v>1</v>
      </c>
      <c r="D90" s="15" t="s">
        <v>36</v>
      </c>
      <c r="E90" s="15" t="s">
        <v>69</v>
      </c>
      <c r="F90" s="676" t="s">
        <v>66</v>
      </c>
      <c r="G90" s="677" t="s">
        <v>41</v>
      </c>
      <c r="H90" s="677" t="s">
        <v>42</v>
      </c>
      <c r="I90" s="678" t="s">
        <v>43</v>
      </c>
      <c r="J90" s="15"/>
      <c r="K90" s="29"/>
      <c r="L90" s="29">
        <f t="shared" ref="L90:M92" si="24">L91</f>
        <v>7255</v>
      </c>
      <c r="M90" s="29">
        <f t="shared" si="24"/>
        <v>7255</v>
      </c>
    </row>
    <row r="91" spans="1:13" s="116" customFormat="1" ht="18" x14ac:dyDescent="0.35">
      <c r="A91" s="16"/>
      <c r="B91" s="578" t="s">
        <v>437</v>
      </c>
      <c r="C91" s="28" t="s">
        <v>1</v>
      </c>
      <c r="D91" s="15" t="s">
        <v>36</v>
      </c>
      <c r="E91" s="15" t="s">
        <v>69</v>
      </c>
      <c r="F91" s="676" t="s">
        <v>66</v>
      </c>
      <c r="G91" s="677" t="s">
        <v>44</v>
      </c>
      <c r="H91" s="677" t="s">
        <v>42</v>
      </c>
      <c r="I91" s="678" t="s">
        <v>43</v>
      </c>
      <c r="J91" s="15"/>
      <c r="K91" s="29"/>
      <c r="L91" s="29">
        <f t="shared" si="24"/>
        <v>7255</v>
      </c>
      <c r="M91" s="29">
        <f t="shared" si="24"/>
        <v>7255</v>
      </c>
    </row>
    <row r="92" spans="1:13" s="116" customFormat="1" ht="36" x14ac:dyDescent="0.35">
      <c r="A92" s="16"/>
      <c r="B92" s="497" t="s">
        <v>659</v>
      </c>
      <c r="C92" s="28" t="s">
        <v>1</v>
      </c>
      <c r="D92" s="15" t="s">
        <v>36</v>
      </c>
      <c r="E92" s="15" t="s">
        <v>69</v>
      </c>
      <c r="F92" s="676" t="s">
        <v>66</v>
      </c>
      <c r="G92" s="677" t="s">
        <v>44</v>
      </c>
      <c r="H92" s="677" t="s">
        <v>42</v>
      </c>
      <c r="I92" s="678" t="s">
        <v>660</v>
      </c>
      <c r="J92" s="15"/>
      <c r="K92" s="29"/>
      <c r="L92" s="29">
        <f t="shared" si="24"/>
        <v>7255</v>
      </c>
      <c r="M92" s="29">
        <f t="shared" si="24"/>
        <v>7255</v>
      </c>
    </row>
    <row r="93" spans="1:13" s="116" customFormat="1" ht="54" x14ac:dyDescent="0.35">
      <c r="A93" s="16"/>
      <c r="B93" s="497" t="s">
        <v>53</v>
      </c>
      <c r="C93" s="28" t="s">
        <v>1</v>
      </c>
      <c r="D93" s="15" t="s">
        <v>36</v>
      </c>
      <c r="E93" s="15" t="s">
        <v>69</v>
      </c>
      <c r="F93" s="676" t="s">
        <v>66</v>
      </c>
      <c r="G93" s="677" t="s">
        <v>44</v>
      </c>
      <c r="H93" s="677" t="s">
        <v>42</v>
      </c>
      <c r="I93" s="678" t="s">
        <v>660</v>
      </c>
      <c r="J93" s="15" t="s">
        <v>54</v>
      </c>
      <c r="K93" s="29"/>
      <c r="L93" s="29">
        <f>M93-K93</f>
        <v>7255</v>
      </c>
      <c r="M93" s="29">
        <v>7255</v>
      </c>
    </row>
    <row r="94" spans="1:13" s="116" customFormat="1" ht="36" customHeight="1" x14ac:dyDescent="0.35">
      <c r="A94" s="16"/>
      <c r="B94" s="497" t="s">
        <v>76</v>
      </c>
      <c r="C94" s="28" t="s">
        <v>1</v>
      </c>
      <c r="D94" s="15" t="s">
        <v>61</v>
      </c>
      <c r="E94" s="15"/>
      <c r="F94" s="676"/>
      <c r="G94" s="677"/>
      <c r="H94" s="677"/>
      <c r="I94" s="678"/>
      <c r="J94" s="15"/>
      <c r="K94" s="29">
        <f>K95+K107</f>
        <v>25632.83913</v>
      </c>
      <c r="L94" s="29">
        <f t="shared" ref="L94" si="25">L95+L107</f>
        <v>0</v>
      </c>
      <c r="M94" s="29">
        <f>M95+M107</f>
        <v>25632.83913</v>
      </c>
    </row>
    <row r="95" spans="1:13" s="116" customFormat="1" ht="72" customHeight="1" x14ac:dyDescent="0.35">
      <c r="A95" s="16"/>
      <c r="B95" s="497" t="s">
        <v>452</v>
      </c>
      <c r="C95" s="28" t="s">
        <v>1</v>
      </c>
      <c r="D95" s="15" t="s">
        <v>61</v>
      </c>
      <c r="E95" s="15" t="s">
        <v>102</v>
      </c>
      <c r="F95" s="676"/>
      <c r="G95" s="677"/>
      <c r="H95" s="677"/>
      <c r="I95" s="678"/>
      <c r="J95" s="15"/>
      <c r="K95" s="29">
        <f t="shared" ref="K95:M97" si="26">K96</f>
        <v>11531.6</v>
      </c>
      <c r="L95" s="29">
        <f t="shared" si="26"/>
        <v>0</v>
      </c>
      <c r="M95" s="29">
        <f t="shared" si="26"/>
        <v>11531.6</v>
      </c>
    </row>
    <row r="96" spans="1:13" s="116" customFormat="1" ht="54" customHeight="1" x14ac:dyDescent="0.35">
      <c r="A96" s="16"/>
      <c r="B96" s="497" t="s">
        <v>78</v>
      </c>
      <c r="C96" s="28" t="s">
        <v>1</v>
      </c>
      <c r="D96" s="15" t="s">
        <v>61</v>
      </c>
      <c r="E96" s="15" t="s">
        <v>102</v>
      </c>
      <c r="F96" s="676" t="s">
        <v>79</v>
      </c>
      <c r="G96" s="677" t="s">
        <v>41</v>
      </c>
      <c r="H96" s="677" t="s">
        <v>42</v>
      </c>
      <c r="I96" s="678" t="s">
        <v>43</v>
      </c>
      <c r="J96" s="15"/>
      <c r="K96" s="29">
        <f t="shared" si="26"/>
        <v>11531.6</v>
      </c>
      <c r="L96" s="29">
        <f t="shared" si="26"/>
        <v>0</v>
      </c>
      <c r="M96" s="29">
        <f t="shared" si="26"/>
        <v>11531.6</v>
      </c>
    </row>
    <row r="97" spans="1:13" s="116" customFormat="1" ht="54" customHeight="1" x14ac:dyDescent="0.35">
      <c r="A97" s="16"/>
      <c r="B97" s="546" t="s">
        <v>80</v>
      </c>
      <c r="C97" s="28" t="s">
        <v>1</v>
      </c>
      <c r="D97" s="15" t="s">
        <v>61</v>
      </c>
      <c r="E97" s="15" t="s">
        <v>102</v>
      </c>
      <c r="F97" s="676" t="s">
        <v>79</v>
      </c>
      <c r="G97" s="677" t="s">
        <v>44</v>
      </c>
      <c r="H97" s="677" t="s">
        <v>42</v>
      </c>
      <c r="I97" s="678" t="s">
        <v>43</v>
      </c>
      <c r="J97" s="15"/>
      <c r="K97" s="29">
        <f t="shared" si="26"/>
        <v>11531.6</v>
      </c>
      <c r="L97" s="29">
        <f t="shared" si="26"/>
        <v>0</v>
      </c>
      <c r="M97" s="29">
        <f t="shared" si="26"/>
        <v>11531.6</v>
      </c>
    </row>
    <row r="98" spans="1:13" s="116" customFormat="1" ht="72" customHeight="1" x14ac:dyDescent="0.35">
      <c r="A98" s="16"/>
      <c r="B98" s="497" t="s">
        <v>81</v>
      </c>
      <c r="C98" s="28" t="s">
        <v>1</v>
      </c>
      <c r="D98" s="15" t="s">
        <v>61</v>
      </c>
      <c r="E98" s="15" t="s">
        <v>102</v>
      </c>
      <c r="F98" s="676" t="s">
        <v>79</v>
      </c>
      <c r="G98" s="677" t="s">
        <v>44</v>
      </c>
      <c r="H98" s="677" t="s">
        <v>36</v>
      </c>
      <c r="I98" s="678" t="s">
        <v>43</v>
      </c>
      <c r="J98" s="15"/>
      <c r="K98" s="29">
        <f>K99+K101+K103+K106</f>
        <v>11531.6</v>
      </c>
      <c r="L98" s="29">
        <f t="shared" ref="L98" si="27">L99+L101+L103+L106</f>
        <v>0</v>
      </c>
      <c r="M98" s="29">
        <f>M99+M101+M103+M106</f>
        <v>11531.6</v>
      </c>
    </row>
    <row r="99" spans="1:13" s="116" customFormat="1" ht="36" customHeight="1" x14ac:dyDescent="0.35">
      <c r="A99" s="16"/>
      <c r="B99" s="546" t="s">
        <v>441</v>
      </c>
      <c r="C99" s="28" t="s">
        <v>1</v>
      </c>
      <c r="D99" s="15" t="s">
        <v>61</v>
      </c>
      <c r="E99" s="15" t="s">
        <v>102</v>
      </c>
      <c r="F99" s="676" t="s">
        <v>79</v>
      </c>
      <c r="G99" s="677" t="s">
        <v>44</v>
      </c>
      <c r="H99" s="677" t="s">
        <v>36</v>
      </c>
      <c r="I99" s="678" t="s">
        <v>82</v>
      </c>
      <c r="J99" s="15"/>
      <c r="K99" s="29">
        <f>K100</f>
        <v>1926.4</v>
      </c>
      <c r="L99" s="29">
        <f t="shared" ref="L99" si="28">L100</f>
        <v>0</v>
      </c>
      <c r="M99" s="29">
        <f>M100</f>
        <v>1926.4</v>
      </c>
    </row>
    <row r="100" spans="1:13" s="116" customFormat="1" ht="54" customHeight="1" x14ac:dyDescent="0.35">
      <c r="A100" s="16"/>
      <c r="B100" s="497" t="s">
        <v>53</v>
      </c>
      <c r="C100" s="28" t="s">
        <v>1</v>
      </c>
      <c r="D100" s="15" t="s">
        <v>61</v>
      </c>
      <c r="E100" s="15" t="s">
        <v>102</v>
      </c>
      <c r="F100" s="676" t="s">
        <v>79</v>
      </c>
      <c r="G100" s="677" t="s">
        <v>44</v>
      </c>
      <c r="H100" s="677" t="s">
        <v>36</v>
      </c>
      <c r="I100" s="678" t="s">
        <v>82</v>
      </c>
      <c r="J100" s="15" t="s">
        <v>54</v>
      </c>
      <c r="K100" s="29">
        <f>298.4+1628</f>
        <v>1926.4</v>
      </c>
      <c r="L100" s="29">
        <f>M100-K100</f>
        <v>0</v>
      </c>
      <c r="M100" s="29">
        <f>298.4+1628</f>
        <v>1926.4</v>
      </c>
    </row>
    <row r="101" spans="1:13" s="116" customFormat="1" ht="54" customHeight="1" x14ac:dyDescent="0.35">
      <c r="A101" s="16"/>
      <c r="B101" s="497" t="s">
        <v>83</v>
      </c>
      <c r="C101" s="28" t="s">
        <v>1</v>
      </c>
      <c r="D101" s="15" t="s">
        <v>61</v>
      </c>
      <c r="E101" s="15" t="s">
        <v>102</v>
      </c>
      <c r="F101" s="676" t="s">
        <v>79</v>
      </c>
      <c r="G101" s="677" t="s">
        <v>44</v>
      </c>
      <c r="H101" s="677" t="s">
        <v>36</v>
      </c>
      <c r="I101" s="678" t="s">
        <v>84</v>
      </c>
      <c r="J101" s="15"/>
      <c r="K101" s="29">
        <f>K102</f>
        <v>67.2</v>
      </c>
      <c r="L101" s="29">
        <f t="shared" ref="L101" si="29">L102</f>
        <v>0</v>
      </c>
      <c r="M101" s="29">
        <f>M102</f>
        <v>67.2</v>
      </c>
    </row>
    <row r="102" spans="1:13" s="116" customFormat="1" ht="54" customHeight="1" x14ac:dyDescent="0.35">
      <c r="A102" s="16"/>
      <c r="B102" s="497" t="s">
        <v>53</v>
      </c>
      <c r="C102" s="28" t="s">
        <v>1</v>
      </c>
      <c r="D102" s="15" t="s">
        <v>61</v>
      </c>
      <c r="E102" s="15" t="s">
        <v>102</v>
      </c>
      <c r="F102" s="676" t="s">
        <v>79</v>
      </c>
      <c r="G102" s="677" t="s">
        <v>44</v>
      </c>
      <c r="H102" s="677" t="s">
        <v>36</v>
      </c>
      <c r="I102" s="678" t="s">
        <v>84</v>
      </c>
      <c r="J102" s="15" t="s">
        <v>54</v>
      </c>
      <c r="K102" s="29">
        <f>63.9+3.3</f>
        <v>67.2</v>
      </c>
      <c r="L102" s="29">
        <f>M102-K102</f>
        <v>0</v>
      </c>
      <c r="M102" s="29">
        <f>63.9+3.3</f>
        <v>67.2</v>
      </c>
    </row>
    <row r="103" spans="1:13" s="116" customFormat="1" ht="144" customHeight="1" x14ac:dyDescent="0.35">
      <c r="A103" s="16"/>
      <c r="B103" s="497" t="s">
        <v>555</v>
      </c>
      <c r="C103" s="28" t="s">
        <v>1</v>
      </c>
      <c r="D103" s="15" t="s">
        <v>61</v>
      </c>
      <c r="E103" s="15" t="s">
        <v>102</v>
      </c>
      <c r="F103" s="676" t="s">
        <v>79</v>
      </c>
      <c r="G103" s="677" t="s">
        <v>44</v>
      </c>
      <c r="H103" s="677" t="s">
        <v>36</v>
      </c>
      <c r="I103" s="678" t="s">
        <v>325</v>
      </c>
      <c r="J103" s="15"/>
      <c r="K103" s="29">
        <f>K104</f>
        <v>9483.9</v>
      </c>
      <c r="L103" s="29">
        <f t="shared" ref="L103" si="30">L104</f>
        <v>0</v>
      </c>
      <c r="M103" s="29">
        <f>M104</f>
        <v>9483.9</v>
      </c>
    </row>
    <row r="104" spans="1:13" s="116" customFormat="1" ht="18" customHeight="1" x14ac:dyDescent="0.35">
      <c r="A104" s="16"/>
      <c r="B104" s="497" t="s">
        <v>121</v>
      </c>
      <c r="C104" s="28" t="s">
        <v>1</v>
      </c>
      <c r="D104" s="15" t="s">
        <v>61</v>
      </c>
      <c r="E104" s="15" t="s">
        <v>102</v>
      </c>
      <c r="F104" s="676" t="s">
        <v>79</v>
      </c>
      <c r="G104" s="677" t="s">
        <v>44</v>
      </c>
      <c r="H104" s="677" t="s">
        <v>36</v>
      </c>
      <c r="I104" s="678" t="s">
        <v>325</v>
      </c>
      <c r="J104" s="15" t="s">
        <v>122</v>
      </c>
      <c r="K104" s="29">
        <v>9483.9</v>
      </c>
      <c r="L104" s="29">
        <f>M104-K104</f>
        <v>0</v>
      </c>
      <c r="M104" s="29">
        <v>9483.9</v>
      </c>
    </row>
    <row r="105" spans="1:13" s="116" customFormat="1" ht="90" customHeight="1" x14ac:dyDescent="0.35">
      <c r="A105" s="16"/>
      <c r="B105" s="493" t="s">
        <v>554</v>
      </c>
      <c r="C105" s="28" t="s">
        <v>1</v>
      </c>
      <c r="D105" s="15" t="s">
        <v>61</v>
      </c>
      <c r="E105" s="15" t="s">
        <v>102</v>
      </c>
      <c r="F105" s="676" t="s">
        <v>79</v>
      </c>
      <c r="G105" s="677" t="s">
        <v>44</v>
      </c>
      <c r="H105" s="677" t="s">
        <v>36</v>
      </c>
      <c r="I105" s="678" t="s">
        <v>326</v>
      </c>
      <c r="J105" s="15"/>
      <c r="K105" s="29">
        <f>K106</f>
        <v>54.1</v>
      </c>
      <c r="L105" s="29">
        <f t="shared" ref="L105" si="31">L106</f>
        <v>0</v>
      </c>
      <c r="M105" s="29">
        <f>M106</f>
        <v>54.1</v>
      </c>
    </row>
    <row r="106" spans="1:13" s="116" customFormat="1" ht="18" customHeight="1" x14ac:dyDescent="0.35">
      <c r="A106" s="16"/>
      <c r="B106" s="497" t="s">
        <v>121</v>
      </c>
      <c r="C106" s="28" t="s">
        <v>1</v>
      </c>
      <c r="D106" s="15" t="s">
        <v>61</v>
      </c>
      <c r="E106" s="15" t="s">
        <v>102</v>
      </c>
      <c r="F106" s="676" t="s">
        <v>79</v>
      </c>
      <c r="G106" s="677" t="s">
        <v>44</v>
      </c>
      <c r="H106" s="677" t="s">
        <v>36</v>
      </c>
      <c r="I106" s="678" t="s">
        <v>326</v>
      </c>
      <c r="J106" s="15" t="s">
        <v>122</v>
      </c>
      <c r="K106" s="29">
        <v>54.1</v>
      </c>
      <c r="L106" s="29">
        <f>M106-K106</f>
        <v>0</v>
      </c>
      <c r="M106" s="29">
        <v>54.1</v>
      </c>
    </row>
    <row r="107" spans="1:13" s="116" customFormat="1" ht="54" customHeight="1" x14ac:dyDescent="0.35">
      <c r="A107" s="16"/>
      <c r="B107" s="545" t="s">
        <v>85</v>
      </c>
      <c r="C107" s="28" t="s">
        <v>1</v>
      </c>
      <c r="D107" s="15" t="s">
        <v>61</v>
      </c>
      <c r="E107" s="15" t="s">
        <v>86</v>
      </c>
      <c r="F107" s="676"/>
      <c r="G107" s="677"/>
      <c r="H107" s="677"/>
      <c r="I107" s="678"/>
      <c r="J107" s="15"/>
      <c r="K107" s="29">
        <f>K108</f>
        <v>14101.23913</v>
      </c>
      <c r="L107" s="29">
        <f t="shared" ref="L107" si="32">L108</f>
        <v>0</v>
      </c>
      <c r="M107" s="29">
        <f>M108</f>
        <v>14101.23913</v>
      </c>
    </row>
    <row r="108" spans="1:13" s="116" customFormat="1" ht="54" customHeight="1" x14ac:dyDescent="0.35">
      <c r="A108" s="16"/>
      <c r="B108" s="497" t="s">
        <v>78</v>
      </c>
      <c r="C108" s="28" t="s">
        <v>1</v>
      </c>
      <c r="D108" s="15" t="s">
        <v>61</v>
      </c>
      <c r="E108" s="15" t="s">
        <v>86</v>
      </c>
      <c r="F108" s="676" t="s">
        <v>79</v>
      </c>
      <c r="G108" s="677" t="s">
        <v>41</v>
      </c>
      <c r="H108" s="677" t="s">
        <v>42</v>
      </c>
      <c r="I108" s="678" t="s">
        <v>43</v>
      </c>
      <c r="J108" s="15"/>
      <c r="K108" s="29">
        <f>K109+K118+K124</f>
        <v>14101.23913</v>
      </c>
      <c r="L108" s="29">
        <f t="shared" ref="L108" si="33">L109+L118+L124</f>
        <v>0</v>
      </c>
      <c r="M108" s="29">
        <f>M109+M118+M124</f>
        <v>14101.23913</v>
      </c>
    </row>
    <row r="109" spans="1:13" s="116" customFormat="1" ht="36" customHeight="1" x14ac:dyDescent="0.35">
      <c r="A109" s="16"/>
      <c r="B109" s="545" t="s">
        <v>123</v>
      </c>
      <c r="C109" s="28" t="s">
        <v>1</v>
      </c>
      <c r="D109" s="15" t="s">
        <v>61</v>
      </c>
      <c r="E109" s="15" t="s">
        <v>86</v>
      </c>
      <c r="F109" s="676" t="s">
        <v>79</v>
      </c>
      <c r="G109" s="677" t="s">
        <v>87</v>
      </c>
      <c r="H109" s="677" t="s">
        <v>42</v>
      </c>
      <c r="I109" s="678" t="s">
        <v>43</v>
      </c>
      <c r="J109" s="15"/>
      <c r="K109" s="29">
        <f>K115+K110</f>
        <v>1827.1991199999998</v>
      </c>
      <c r="L109" s="29">
        <f t="shared" ref="L109" si="34">L115+L110</f>
        <v>0</v>
      </c>
      <c r="M109" s="29">
        <f>M115+M110</f>
        <v>1827.1991199999998</v>
      </c>
    </row>
    <row r="110" spans="1:13" s="116" customFormat="1" ht="36" customHeight="1" x14ac:dyDescent="0.35">
      <c r="A110" s="16"/>
      <c r="B110" s="545" t="s">
        <v>267</v>
      </c>
      <c r="C110" s="28" t="s">
        <v>1</v>
      </c>
      <c r="D110" s="15" t="s">
        <v>61</v>
      </c>
      <c r="E110" s="15" t="s">
        <v>86</v>
      </c>
      <c r="F110" s="676" t="s">
        <v>79</v>
      </c>
      <c r="G110" s="677" t="s">
        <v>87</v>
      </c>
      <c r="H110" s="677" t="s">
        <v>36</v>
      </c>
      <c r="I110" s="678" t="s">
        <v>43</v>
      </c>
      <c r="J110" s="15"/>
      <c r="K110" s="29">
        <f>K113+K111</f>
        <v>342.6</v>
      </c>
      <c r="L110" s="29">
        <f t="shared" ref="L110" si="35">L113+L111</f>
        <v>0</v>
      </c>
      <c r="M110" s="29">
        <f>M113+M111</f>
        <v>342.6</v>
      </c>
    </row>
    <row r="111" spans="1:13" s="116" customFormat="1" ht="36" customHeight="1" x14ac:dyDescent="0.35">
      <c r="A111" s="16"/>
      <c r="B111" s="529" t="s">
        <v>125</v>
      </c>
      <c r="C111" s="28" t="s">
        <v>1</v>
      </c>
      <c r="D111" s="15" t="s">
        <v>61</v>
      </c>
      <c r="E111" s="15" t="s">
        <v>86</v>
      </c>
      <c r="F111" s="676" t="s">
        <v>79</v>
      </c>
      <c r="G111" s="677" t="s">
        <v>87</v>
      </c>
      <c r="H111" s="677" t="s">
        <v>36</v>
      </c>
      <c r="I111" s="678" t="s">
        <v>88</v>
      </c>
      <c r="J111" s="15"/>
      <c r="K111" s="29">
        <f>K112</f>
        <v>218.7</v>
      </c>
      <c r="L111" s="29">
        <f t="shared" ref="L111" si="36">L112</f>
        <v>0</v>
      </c>
      <c r="M111" s="29">
        <f>M112</f>
        <v>218.7</v>
      </c>
    </row>
    <row r="112" spans="1:13" s="116" customFormat="1" ht="54" customHeight="1" x14ac:dyDescent="0.35">
      <c r="A112" s="16"/>
      <c r="B112" s="497" t="s">
        <v>53</v>
      </c>
      <c r="C112" s="28" t="s">
        <v>1</v>
      </c>
      <c r="D112" s="15" t="s">
        <v>61</v>
      </c>
      <c r="E112" s="15" t="s">
        <v>86</v>
      </c>
      <c r="F112" s="676" t="s">
        <v>79</v>
      </c>
      <c r="G112" s="677" t="s">
        <v>87</v>
      </c>
      <c r="H112" s="677" t="s">
        <v>36</v>
      </c>
      <c r="I112" s="678" t="s">
        <v>88</v>
      </c>
      <c r="J112" s="15" t="s">
        <v>54</v>
      </c>
      <c r="K112" s="29">
        <f>28.7+190</f>
        <v>218.7</v>
      </c>
      <c r="L112" s="29">
        <f>M112-K112</f>
        <v>0</v>
      </c>
      <c r="M112" s="29">
        <f>28.7+190</f>
        <v>218.7</v>
      </c>
    </row>
    <row r="113" spans="1:13" s="116" customFormat="1" ht="90" customHeight="1" x14ac:dyDescent="0.35">
      <c r="A113" s="16"/>
      <c r="B113" s="508" t="s">
        <v>554</v>
      </c>
      <c r="C113" s="28" t="s">
        <v>1</v>
      </c>
      <c r="D113" s="15" t="s">
        <v>61</v>
      </c>
      <c r="E113" s="15" t="s">
        <v>86</v>
      </c>
      <c r="F113" s="676" t="s">
        <v>79</v>
      </c>
      <c r="G113" s="677" t="s">
        <v>87</v>
      </c>
      <c r="H113" s="677" t="s">
        <v>36</v>
      </c>
      <c r="I113" s="678" t="s">
        <v>326</v>
      </c>
      <c r="J113" s="15"/>
      <c r="K113" s="29">
        <f>K114</f>
        <v>123.9</v>
      </c>
      <c r="L113" s="29">
        <f t="shared" ref="L113" si="37">L114</f>
        <v>0</v>
      </c>
      <c r="M113" s="29">
        <f>M114</f>
        <v>123.9</v>
      </c>
    </row>
    <row r="114" spans="1:13" s="116" customFormat="1" ht="18" customHeight="1" x14ac:dyDescent="0.35">
      <c r="A114" s="16"/>
      <c r="B114" s="545" t="s">
        <v>121</v>
      </c>
      <c r="C114" s="28" t="s">
        <v>1</v>
      </c>
      <c r="D114" s="15" t="s">
        <v>61</v>
      </c>
      <c r="E114" s="15" t="s">
        <v>86</v>
      </c>
      <c r="F114" s="676" t="s">
        <v>79</v>
      </c>
      <c r="G114" s="677" t="s">
        <v>87</v>
      </c>
      <c r="H114" s="677" t="s">
        <v>36</v>
      </c>
      <c r="I114" s="678" t="s">
        <v>326</v>
      </c>
      <c r="J114" s="15" t="s">
        <v>122</v>
      </c>
      <c r="K114" s="29">
        <v>123.9</v>
      </c>
      <c r="L114" s="29">
        <f>M114-K114</f>
        <v>0</v>
      </c>
      <c r="M114" s="29">
        <v>123.9</v>
      </c>
    </row>
    <row r="115" spans="1:13" s="116" customFormat="1" ht="54" customHeight="1" x14ac:dyDescent="0.35">
      <c r="A115" s="16"/>
      <c r="B115" s="529" t="s">
        <v>124</v>
      </c>
      <c r="C115" s="28" t="s">
        <v>1</v>
      </c>
      <c r="D115" s="15" t="s">
        <v>61</v>
      </c>
      <c r="E115" s="15" t="s">
        <v>86</v>
      </c>
      <c r="F115" s="676" t="s">
        <v>79</v>
      </c>
      <c r="G115" s="677" t="s">
        <v>87</v>
      </c>
      <c r="H115" s="677" t="s">
        <v>38</v>
      </c>
      <c r="I115" s="678" t="s">
        <v>43</v>
      </c>
      <c r="J115" s="15"/>
      <c r="K115" s="29">
        <f t="shared" ref="K115:M116" si="38">K116</f>
        <v>1484.5991199999999</v>
      </c>
      <c r="L115" s="29">
        <f t="shared" si="38"/>
        <v>0</v>
      </c>
      <c r="M115" s="29">
        <f t="shared" si="38"/>
        <v>1484.5991199999999</v>
      </c>
    </row>
    <row r="116" spans="1:13" s="116" customFormat="1" ht="36" customHeight="1" x14ac:dyDescent="0.35">
      <c r="A116" s="16"/>
      <c r="B116" s="529" t="s">
        <v>125</v>
      </c>
      <c r="C116" s="28" t="s">
        <v>1</v>
      </c>
      <c r="D116" s="15" t="s">
        <v>61</v>
      </c>
      <c r="E116" s="15" t="s">
        <v>86</v>
      </c>
      <c r="F116" s="676" t="s">
        <v>79</v>
      </c>
      <c r="G116" s="677" t="s">
        <v>87</v>
      </c>
      <c r="H116" s="677" t="s">
        <v>38</v>
      </c>
      <c r="I116" s="678" t="s">
        <v>88</v>
      </c>
      <c r="J116" s="15"/>
      <c r="K116" s="29">
        <f t="shared" si="38"/>
        <v>1484.5991199999999</v>
      </c>
      <c r="L116" s="29">
        <f t="shared" si="38"/>
        <v>0</v>
      </c>
      <c r="M116" s="29">
        <f t="shared" si="38"/>
        <v>1484.5991199999999</v>
      </c>
    </row>
    <row r="117" spans="1:13" s="116" customFormat="1" ht="54" customHeight="1" x14ac:dyDescent="0.35">
      <c r="A117" s="16"/>
      <c r="B117" s="497" t="s">
        <v>53</v>
      </c>
      <c r="C117" s="28" t="s">
        <v>1</v>
      </c>
      <c r="D117" s="15" t="s">
        <v>61</v>
      </c>
      <c r="E117" s="15" t="s">
        <v>86</v>
      </c>
      <c r="F117" s="676" t="s">
        <v>79</v>
      </c>
      <c r="G117" s="677" t="s">
        <v>87</v>
      </c>
      <c r="H117" s="677" t="s">
        <v>38</v>
      </c>
      <c r="I117" s="678" t="s">
        <v>88</v>
      </c>
      <c r="J117" s="15" t="s">
        <v>54</v>
      </c>
      <c r="K117" s="29">
        <f>810+652.6+21.99912</f>
        <v>1484.5991199999999</v>
      </c>
      <c r="L117" s="29">
        <f>M117-K117</f>
        <v>0</v>
      </c>
      <c r="M117" s="29">
        <f>810+652.6+21.99912</f>
        <v>1484.5991199999999</v>
      </c>
    </row>
    <row r="118" spans="1:13" s="116" customFormat="1" ht="72" customHeight="1" x14ac:dyDescent="0.35">
      <c r="A118" s="16"/>
      <c r="B118" s="545" t="s">
        <v>364</v>
      </c>
      <c r="C118" s="28" t="s">
        <v>1</v>
      </c>
      <c r="D118" s="15" t="s">
        <v>61</v>
      </c>
      <c r="E118" s="15" t="s">
        <v>86</v>
      </c>
      <c r="F118" s="676" t="s">
        <v>79</v>
      </c>
      <c r="G118" s="677" t="s">
        <v>29</v>
      </c>
      <c r="H118" s="677" t="s">
        <v>42</v>
      </c>
      <c r="I118" s="678" t="s">
        <v>43</v>
      </c>
      <c r="J118" s="15"/>
      <c r="K118" s="29">
        <f>K119</f>
        <v>12245.34001</v>
      </c>
      <c r="L118" s="29">
        <f t="shared" ref="L118:L119" si="39">L119</f>
        <v>0</v>
      </c>
      <c r="M118" s="29">
        <f>M119</f>
        <v>12245.34001</v>
      </c>
    </row>
    <row r="119" spans="1:13" s="116" customFormat="1" ht="72" customHeight="1" x14ac:dyDescent="0.35">
      <c r="A119" s="16"/>
      <c r="B119" s="529" t="s">
        <v>319</v>
      </c>
      <c r="C119" s="28" t="s">
        <v>1</v>
      </c>
      <c r="D119" s="15" t="s">
        <v>61</v>
      </c>
      <c r="E119" s="15" t="s">
        <v>86</v>
      </c>
      <c r="F119" s="676" t="s">
        <v>79</v>
      </c>
      <c r="G119" s="677" t="s">
        <v>29</v>
      </c>
      <c r="H119" s="677" t="s">
        <v>36</v>
      </c>
      <c r="I119" s="678" t="s">
        <v>43</v>
      </c>
      <c r="J119" s="15"/>
      <c r="K119" s="29">
        <f>K120</f>
        <v>12245.34001</v>
      </c>
      <c r="L119" s="29">
        <f t="shared" si="39"/>
        <v>0</v>
      </c>
      <c r="M119" s="29">
        <f>M120</f>
        <v>12245.34001</v>
      </c>
    </row>
    <row r="120" spans="1:13" s="116" customFormat="1" ht="36" customHeight="1" x14ac:dyDescent="0.35">
      <c r="A120" s="16"/>
      <c r="B120" s="529" t="s">
        <v>454</v>
      </c>
      <c r="C120" s="28" t="s">
        <v>1</v>
      </c>
      <c r="D120" s="15" t="s">
        <v>61</v>
      </c>
      <c r="E120" s="15" t="s">
        <v>86</v>
      </c>
      <c r="F120" s="676" t="s">
        <v>79</v>
      </c>
      <c r="G120" s="677" t="s">
        <v>29</v>
      </c>
      <c r="H120" s="677" t="s">
        <v>36</v>
      </c>
      <c r="I120" s="678" t="s">
        <v>89</v>
      </c>
      <c r="J120" s="15"/>
      <c r="K120" s="29">
        <f>K121+K122+K123</f>
        <v>12245.34001</v>
      </c>
      <c r="L120" s="29">
        <f t="shared" ref="L120" si="40">L121+L122+L123</f>
        <v>0</v>
      </c>
      <c r="M120" s="29">
        <f>M121+M122+M123</f>
        <v>12245.34001</v>
      </c>
    </row>
    <row r="121" spans="1:13" s="116" customFormat="1" ht="108" customHeight="1" x14ac:dyDescent="0.35">
      <c r="A121" s="16"/>
      <c r="B121" s="497" t="s">
        <v>48</v>
      </c>
      <c r="C121" s="28" t="s">
        <v>1</v>
      </c>
      <c r="D121" s="15" t="s">
        <v>61</v>
      </c>
      <c r="E121" s="15" t="s">
        <v>86</v>
      </c>
      <c r="F121" s="676" t="s">
        <v>79</v>
      </c>
      <c r="G121" s="677" t="s">
        <v>29</v>
      </c>
      <c r="H121" s="677" t="s">
        <v>36</v>
      </c>
      <c r="I121" s="678" t="s">
        <v>89</v>
      </c>
      <c r="J121" s="15" t="s">
        <v>49</v>
      </c>
      <c r="K121" s="29">
        <v>9058.7999999999993</v>
      </c>
      <c r="L121" s="29">
        <f>M121-K121</f>
        <v>0</v>
      </c>
      <c r="M121" s="29">
        <v>9058.7999999999993</v>
      </c>
    </row>
    <row r="122" spans="1:13" s="116" customFormat="1" ht="54" x14ac:dyDescent="0.35">
      <c r="A122" s="16"/>
      <c r="B122" s="497" t="s">
        <v>53</v>
      </c>
      <c r="C122" s="28" t="s">
        <v>1</v>
      </c>
      <c r="D122" s="15" t="s">
        <v>61</v>
      </c>
      <c r="E122" s="15" t="s">
        <v>86</v>
      </c>
      <c r="F122" s="676" t="s">
        <v>79</v>
      </c>
      <c r="G122" s="677" t="s">
        <v>29</v>
      </c>
      <c r="H122" s="677" t="s">
        <v>36</v>
      </c>
      <c r="I122" s="678" t="s">
        <v>89</v>
      </c>
      <c r="J122" s="15" t="s">
        <v>54</v>
      </c>
      <c r="K122" s="29">
        <f>2445.4+352.8+10.04001+375</f>
        <v>3183.2400100000004</v>
      </c>
      <c r="L122" s="29">
        <f>M122-K122</f>
        <v>0</v>
      </c>
      <c r="M122" s="29">
        <f>2445.4+352.8+10.04001+375</f>
        <v>3183.2400100000004</v>
      </c>
    </row>
    <row r="123" spans="1:13" s="116" customFormat="1" ht="18" customHeight="1" x14ac:dyDescent="0.35">
      <c r="A123" s="16"/>
      <c r="B123" s="497" t="s">
        <v>55</v>
      </c>
      <c r="C123" s="28" t="s">
        <v>1</v>
      </c>
      <c r="D123" s="15" t="s">
        <v>61</v>
      </c>
      <c r="E123" s="15" t="s">
        <v>86</v>
      </c>
      <c r="F123" s="676" t="s">
        <v>79</v>
      </c>
      <c r="G123" s="677" t="s">
        <v>29</v>
      </c>
      <c r="H123" s="677" t="s">
        <v>36</v>
      </c>
      <c r="I123" s="678" t="s">
        <v>89</v>
      </c>
      <c r="J123" s="15" t="s">
        <v>56</v>
      </c>
      <c r="K123" s="29">
        <v>3.3</v>
      </c>
      <c r="L123" s="29">
        <f>M123-K123</f>
        <v>0</v>
      </c>
      <c r="M123" s="29">
        <v>3.3</v>
      </c>
    </row>
    <row r="124" spans="1:13" s="116" customFormat="1" ht="69" customHeight="1" x14ac:dyDescent="0.35">
      <c r="A124" s="16"/>
      <c r="B124" s="511" t="s">
        <v>467</v>
      </c>
      <c r="C124" s="28" t="s">
        <v>1</v>
      </c>
      <c r="D124" s="15" t="s">
        <v>61</v>
      </c>
      <c r="E124" s="15" t="s">
        <v>86</v>
      </c>
      <c r="F124" s="676" t="s">
        <v>79</v>
      </c>
      <c r="G124" s="677" t="s">
        <v>30</v>
      </c>
      <c r="H124" s="677" t="s">
        <v>42</v>
      </c>
      <c r="I124" s="678" t="s">
        <v>43</v>
      </c>
      <c r="J124" s="15"/>
      <c r="K124" s="29">
        <f>K125</f>
        <v>28.7</v>
      </c>
      <c r="L124" s="29">
        <f t="shared" ref="L124" si="41">L125</f>
        <v>0</v>
      </c>
      <c r="M124" s="29">
        <f>M125</f>
        <v>28.7</v>
      </c>
    </row>
    <row r="125" spans="1:13" s="116" customFormat="1" ht="72" customHeight="1" x14ac:dyDescent="0.35">
      <c r="A125" s="16"/>
      <c r="B125" s="512" t="s">
        <v>468</v>
      </c>
      <c r="C125" s="28" t="s">
        <v>1</v>
      </c>
      <c r="D125" s="15" t="s">
        <v>61</v>
      </c>
      <c r="E125" s="15" t="s">
        <v>86</v>
      </c>
      <c r="F125" s="676" t="s">
        <v>79</v>
      </c>
      <c r="G125" s="677" t="s">
        <v>30</v>
      </c>
      <c r="H125" s="677" t="s">
        <v>36</v>
      </c>
      <c r="I125" s="678" t="s">
        <v>43</v>
      </c>
      <c r="J125" s="15"/>
      <c r="K125" s="29">
        <f t="shared" ref="K125:M126" si="42">K126</f>
        <v>28.7</v>
      </c>
      <c r="L125" s="29">
        <f t="shared" si="42"/>
        <v>0</v>
      </c>
      <c r="M125" s="29">
        <f t="shared" si="42"/>
        <v>28.7</v>
      </c>
    </row>
    <row r="126" spans="1:13" s="116" customFormat="1" ht="54" customHeight="1" x14ac:dyDescent="0.35">
      <c r="A126" s="16"/>
      <c r="B126" s="513" t="s">
        <v>83</v>
      </c>
      <c r="C126" s="28" t="s">
        <v>1</v>
      </c>
      <c r="D126" s="15" t="s">
        <v>61</v>
      </c>
      <c r="E126" s="15" t="s">
        <v>86</v>
      </c>
      <c r="F126" s="676" t="s">
        <v>79</v>
      </c>
      <c r="G126" s="677" t="s">
        <v>30</v>
      </c>
      <c r="H126" s="677" t="s">
        <v>36</v>
      </c>
      <c r="I126" s="678" t="s">
        <v>84</v>
      </c>
      <c r="J126" s="15"/>
      <c r="K126" s="29">
        <f t="shared" si="42"/>
        <v>28.7</v>
      </c>
      <c r="L126" s="29">
        <f t="shared" si="42"/>
        <v>0</v>
      </c>
      <c r="M126" s="29">
        <f t="shared" si="42"/>
        <v>28.7</v>
      </c>
    </row>
    <row r="127" spans="1:13" s="116" customFormat="1" ht="54" customHeight="1" x14ac:dyDescent="0.35">
      <c r="A127" s="16"/>
      <c r="B127" s="514" t="s">
        <v>53</v>
      </c>
      <c r="C127" s="28" t="s">
        <v>1</v>
      </c>
      <c r="D127" s="15" t="s">
        <v>61</v>
      </c>
      <c r="E127" s="15" t="s">
        <v>86</v>
      </c>
      <c r="F127" s="676" t="s">
        <v>79</v>
      </c>
      <c r="G127" s="677" t="s">
        <v>30</v>
      </c>
      <c r="H127" s="677" t="s">
        <v>36</v>
      </c>
      <c r="I127" s="678" t="s">
        <v>84</v>
      </c>
      <c r="J127" s="15" t="s">
        <v>54</v>
      </c>
      <c r="K127" s="29">
        <v>28.7</v>
      </c>
      <c r="L127" s="29">
        <f>M127-K127</f>
        <v>0</v>
      </c>
      <c r="M127" s="29">
        <v>28.7</v>
      </c>
    </row>
    <row r="128" spans="1:13" s="116" customFormat="1" ht="18" customHeight="1" x14ac:dyDescent="0.35">
      <c r="A128" s="16"/>
      <c r="B128" s="497" t="s">
        <v>90</v>
      </c>
      <c r="C128" s="28" t="s">
        <v>1</v>
      </c>
      <c r="D128" s="15" t="s">
        <v>50</v>
      </c>
      <c r="E128" s="15"/>
      <c r="F128" s="676"/>
      <c r="G128" s="677"/>
      <c r="H128" s="677"/>
      <c r="I128" s="678"/>
      <c r="J128" s="15"/>
      <c r="K128" s="29">
        <f>K129+K138+K144</f>
        <v>37314.616889999998</v>
      </c>
      <c r="L128" s="29">
        <f t="shared" ref="L128" si="43">L129+L138+L144</f>
        <v>0</v>
      </c>
      <c r="M128" s="29">
        <f>M129+M138+M144</f>
        <v>37314.616889999998</v>
      </c>
    </row>
    <row r="129" spans="1:13" s="12" customFormat="1" ht="18" customHeight="1" x14ac:dyDescent="0.35">
      <c r="A129" s="16"/>
      <c r="B129" s="497" t="s">
        <v>91</v>
      </c>
      <c r="C129" s="28" t="s">
        <v>1</v>
      </c>
      <c r="D129" s="15" t="s">
        <v>50</v>
      </c>
      <c r="E129" s="15" t="s">
        <v>63</v>
      </c>
      <c r="F129" s="676"/>
      <c r="G129" s="677"/>
      <c r="H129" s="677"/>
      <c r="I129" s="678"/>
      <c r="J129" s="15"/>
      <c r="K129" s="29">
        <f t="shared" ref="K129:M130" si="44">K130</f>
        <v>24038.799999999999</v>
      </c>
      <c r="L129" s="29">
        <f t="shared" si="44"/>
        <v>0</v>
      </c>
      <c r="M129" s="29">
        <f t="shared" si="44"/>
        <v>24038.799999999999</v>
      </c>
    </row>
    <row r="130" spans="1:13" s="116" customFormat="1" ht="54" customHeight="1" x14ac:dyDescent="0.35">
      <c r="A130" s="16"/>
      <c r="B130" s="497" t="s">
        <v>92</v>
      </c>
      <c r="C130" s="28" t="s">
        <v>1</v>
      </c>
      <c r="D130" s="15" t="s">
        <v>50</v>
      </c>
      <c r="E130" s="15" t="s">
        <v>63</v>
      </c>
      <c r="F130" s="676" t="s">
        <v>65</v>
      </c>
      <c r="G130" s="677" t="s">
        <v>41</v>
      </c>
      <c r="H130" s="677" t="s">
        <v>42</v>
      </c>
      <c r="I130" s="678" t="s">
        <v>43</v>
      </c>
      <c r="J130" s="15"/>
      <c r="K130" s="29">
        <f t="shared" si="44"/>
        <v>24038.799999999999</v>
      </c>
      <c r="L130" s="29">
        <f t="shared" si="44"/>
        <v>0</v>
      </c>
      <c r="M130" s="29">
        <f t="shared" si="44"/>
        <v>24038.799999999999</v>
      </c>
    </row>
    <row r="131" spans="1:13" s="12" customFormat="1" ht="36" customHeight="1" x14ac:dyDescent="0.35">
      <c r="A131" s="16"/>
      <c r="B131" s="497" t="s">
        <v>335</v>
      </c>
      <c r="C131" s="28" t="s">
        <v>1</v>
      </c>
      <c r="D131" s="15" t="s">
        <v>50</v>
      </c>
      <c r="E131" s="15" t="s">
        <v>63</v>
      </c>
      <c r="F131" s="676" t="s">
        <v>65</v>
      </c>
      <c r="G131" s="677" t="s">
        <v>44</v>
      </c>
      <c r="H131" s="677" t="s">
        <v>42</v>
      </c>
      <c r="I131" s="678" t="s">
        <v>43</v>
      </c>
      <c r="J131" s="15"/>
      <c r="K131" s="29">
        <f>K132+K135</f>
        <v>24038.799999999999</v>
      </c>
      <c r="L131" s="29">
        <f t="shared" ref="L131" si="45">L132+L135</f>
        <v>0</v>
      </c>
      <c r="M131" s="29">
        <f>M132+M135</f>
        <v>24038.799999999999</v>
      </c>
    </row>
    <row r="132" spans="1:13" s="12" customFormat="1" ht="54" customHeight="1" x14ac:dyDescent="0.35">
      <c r="A132" s="16"/>
      <c r="B132" s="497" t="s">
        <v>93</v>
      </c>
      <c r="C132" s="28" t="s">
        <v>1</v>
      </c>
      <c r="D132" s="15" t="s">
        <v>50</v>
      </c>
      <c r="E132" s="15" t="s">
        <v>63</v>
      </c>
      <c r="F132" s="676" t="s">
        <v>65</v>
      </c>
      <c r="G132" s="677" t="s">
        <v>44</v>
      </c>
      <c r="H132" s="677" t="s">
        <v>36</v>
      </c>
      <c r="I132" s="678" t="s">
        <v>43</v>
      </c>
      <c r="J132" s="15"/>
      <c r="K132" s="29">
        <f t="shared" ref="K132:M133" si="46">K133</f>
        <v>20740</v>
      </c>
      <c r="L132" s="29">
        <f t="shared" si="46"/>
        <v>0</v>
      </c>
      <c r="M132" s="29">
        <f t="shared" si="46"/>
        <v>20740</v>
      </c>
    </row>
    <row r="133" spans="1:13" s="12" customFormat="1" ht="72" customHeight="1" x14ac:dyDescent="0.35">
      <c r="A133" s="16"/>
      <c r="B133" s="544" t="s">
        <v>404</v>
      </c>
      <c r="C133" s="28" t="s">
        <v>1</v>
      </c>
      <c r="D133" s="15" t="s">
        <v>50</v>
      </c>
      <c r="E133" s="15" t="s">
        <v>63</v>
      </c>
      <c r="F133" s="676" t="s">
        <v>65</v>
      </c>
      <c r="G133" s="677" t="s">
        <v>44</v>
      </c>
      <c r="H133" s="677" t="s">
        <v>36</v>
      </c>
      <c r="I133" s="678" t="s">
        <v>59</v>
      </c>
      <c r="J133" s="15"/>
      <c r="K133" s="29">
        <f t="shared" si="46"/>
        <v>20740</v>
      </c>
      <c r="L133" s="29">
        <f t="shared" si="46"/>
        <v>0</v>
      </c>
      <c r="M133" s="29">
        <f t="shared" si="46"/>
        <v>20740</v>
      </c>
    </row>
    <row r="134" spans="1:13" s="116" customFormat="1" ht="18" customHeight="1" x14ac:dyDescent="0.35">
      <c r="A134" s="16"/>
      <c r="B134" s="497" t="s">
        <v>55</v>
      </c>
      <c r="C134" s="28" t="s">
        <v>1</v>
      </c>
      <c r="D134" s="15" t="s">
        <v>50</v>
      </c>
      <c r="E134" s="15" t="s">
        <v>63</v>
      </c>
      <c r="F134" s="676" t="s">
        <v>65</v>
      </c>
      <c r="G134" s="677" t="s">
        <v>44</v>
      </c>
      <c r="H134" s="677" t="s">
        <v>36</v>
      </c>
      <c r="I134" s="678" t="s">
        <v>59</v>
      </c>
      <c r="J134" s="15" t="s">
        <v>56</v>
      </c>
      <c r="K134" s="29">
        <v>20740</v>
      </c>
      <c r="L134" s="29">
        <f>M134-K134</f>
        <v>0</v>
      </c>
      <c r="M134" s="29">
        <v>20740</v>
      </c>
    </row>
    <row r="135" spans="1:13" s="12" customFormat="1" ht="54" customHeight="1" x14ac:dyDescent="0.35">
      <c r="A135" s="16"/>
      <c r="B135" s="497" t="s">
        <v>94</v>
      </c>
      <c r="C135" s="28" t="s">
        <v>1</v>
      </c>
      <c r="D135" s="15" t="s">
        <v>50</v>
      </c>
      <c r="E135" s="15" t="s">
        <v>63</v>
      </c>
      <c r="F135" s="676" t="s">
        <v>65</v>
      </c>
      <c r="G135" s="677" t="s">
        <v>44</v>
      </c>
      <c r="H135" s="677" t="s">
        <v>38</v>
      </c>
      <c r="I135" s="678" t="s">
        <v>43</v>
      </c>
      <c r="J135" s="15"/>
      <c r="K135" s="29">
        <f t="shared" ref="K135:M136" si="47">K136</f>
        <v>3298.8</v>
      </c>
      <c r="L135" s="29">
        <f t="shared" si="47"/>
        <v>0</v>
      </c>
      <c r="M135" s="29">
        <f t="shared" si="47"/>
        <v>3298.8</v>
      </c>
    </row>
    <row r="136" spans="1:13" s="12" customFormat="1" ht="180" customHeight="1" x14ac:dyDescent="0.35">
      <c r="A136" s="16"/>
      <c r="B136" s="497" t="s">
        <v>492</v>
      </c>
      <c r="C136" s="28" t="s">
        <v>1</v>
      </c>
      <c r="D136" s="15" t="s">
        <v>50</v>
      </c>
      <c r="E136" s="15" t="s">
        <v>63</v>
      </c>
      <c r="F136" s="676" t="s">
        <v>65</v>
      </c>
      <c r="G136" s="677" t="s">
        <v>44</v>
      </c>
      <c r="H136" s="677" t="s">
        <v>38</v>
      </c>
      <c r="I136" s="678" t="s">
        <v>95</v>
      </c>
      <c r="J136" s="15"/>
      <c r="K136" s="29">
        <f t="shared" si="47"/>
        <v>3298.8</v>
      </c>
      <c r="L136" s="29">
        <f t="shared" si="47"/>
        <v>0</v>
      </c>
      <c r="M136" s="29">
        <f t="shared" si="47"/>
        <v>3298.8</v>
      </c>
    </row>
    <row r="137" spans="1:13" s="116" customFormat="1" ht="54" customHeight="1" x14ac:dyDescent="0.35">
      <c r="A137" s="16"/>
      <c r="B137" s="497" t="s">
        <v>53</v>
      </c>
      <c r="C137" s="28" t="s">
        <v>1</v>
      </c>
      <c r="D137" s="15" t="s">
        <v>50</v>
      </c>
      <c r="E137" s="15" t="s">
        <v>63</v>
      </c>
      <c r="F137" s="676" t="s">
        <v>65</v>
      </c>
      <c r="G137" s="677" t="s">
        <v>44</v>
      </c>
      <c r="H137" s="677" t="s">
        <v>38</v>
      </c>
      <c r="I137" s="678" t="s">
        <v>95</v>
      </c>
      <c r="J137" s="15" t="s">
        <v>54</v>
      </c>
      <c r="K137" s="29">
        <v>3298.8</v>
      </c>
      <c r="L137" s="29">
        <f>M137-K137</f>
        <v>0</v>
      </c>
      <c r="M137" s="29">
        <v>3298.8</v>
      </c>
    </row>
    <row r="138" spans="1:13" s="12" customFormat="1" ht="18" customHeight="1" x14ac:dyDescent="0.35">
      <c r="A138" s="16"/>
      <c r="B138" s="545" t="s">
        <v>96</v>
      </c>
      <c r="C138" s="28" t="s">
        <v>1</v>
      </c>
      <c r="D138" s="15" t="s">
        <v>50</v>
      </c>
      <c r="E138" s="15" t="s">
        <v>77</v>
      </c>
      <c r="F138" s="676"/>
      <c r="G138" s="677"/>
      <c r="H138" s="677"/>
      <c r="I138" s="678"/>
      <c r="J138" s="15"/>
      <c r="K138" s="29">
        <f t="shared" ref="K138:M142" si="48">K139</f>
        <v>10949.71689</v>
      </c>
      <c r="L138" s="29">
        <f t="shared" si="48"/>
        <v>0</v>
      </c>
      <c r="M138" s="29">
        <f t="shared" si="48"/>
        <v>10949.71689</v>
      </c>
    </row>
    <row r="139" spans="1:13" s="116" customFormat="1" ht="54" customHeight="1" x14ac:dyDescent="0.35">
      <c r="A139" s="16"/>
      <c r="B139" s="497" t="s">
        <v>97</v>
      </c>
      <c r="C139" s="28" t="s">
        <v>1</v>
      </c>
      <c r="D139" s="15" t="s">
        <v>50</v>
      </c>
      <c r="E139" s="15" t="s">
        <v>77</v>
      </c>
      <c r="F139" s="676" t="s">
        <v>98</v>
      </c>
      <c r="G139" s="677" t="s">
        <v>41</v>
      </c>
      <c r="H139" s="677" t="s">
        <v>42</v>
      </c>
      <c r="I139" s="678" t="s">
        <v>43</v>
      </c>
      <c r="J139" s="15"/>
      <c r="K139" s="29">
        <f t="shared" si="48"/>
        <v>10949.71689</v>
      </c>
      <c r="L139" s="29">
        <f t="shared" si="48"/>
        <v>0</v>
      </c>
      <c r="M139" s="29">
        <f t="shared" si="48"/>
        <v>10949.71689</v>
      </c>
    </row>
    <row r="140" spans="1:13" s="12" customFormat="1" ht="36" customHeight="1" x14ac:dyDescent="0.35">
      <c r="A140" s="16"/>
      <c r="B140" s="497" t="s">
        <v>335</v>
      </c>
      <c r="C140" s="28" t="s">
        <v>1</v>
      </c>
      <c r="D140" s="15" t="s">
        <v>50</v>
      </c>
      <c r="E140" s="15" t="s">
        <v>77</v>
      </c>
      <c r="F140" s="676" t="s">
        <v>98</v>
      </c>
      <c r="G140" s="677" t="s">
        <v>44</v>
      </c>
      <c r="H140" s="677" t="s">
        <v>42</v>
      </c>
      <c r="I140" s="678" t="s">
        <v>43</v>
      </c>
      <c r="J140" s="15"/>
      <c r="K140" s="29">
        <f t="shared" si="48"/>
        <v>10949.71689</v>
      </c>
      <c r="L140" s="29">
        <f t="shared" si="48"/>
        <v>0</v>
      </c>
      <c r="M140" s="29">
        <f t="shared" si="48"/>
        <v>10949.71689</v>
      </c>
    </row>
    <row r="141" spans="1:13" s="12" customFormat="1" ht="90" customHeight="1" x14ac:dyDescent="0.35">
      <c r="A141" s="16"/>
      <c r="B141" s="497" t="s">
        <v>99</v>
      </c>
      <c r="C141" s="28" t="s">
        <v>1</v>
      </c>
      <c r="D141" s="15" t="s">
        <v>50</v>
      </c>
      <c r="E141" s="15" t="s">
        <v>77</v>
      </c>
      <c r="F141" s="676" t="s">
        <v>98</v>
      </c>
      <c r="G141" s="677" t="s">
        <v>44</v>
      </c>
      <c r="H141" s="677" t="s">
        <v>36</v>
      </c>
      <c r="I141" s="678" t="s">
        <v>43</v>
      </c>
      <c r="J141" s="15"/>
      <c r="K141" s="29">
        <f>K142</f>
        <v>10949.71689</v>
      </c>
      <c r="L141" s="29">
        <f t="shared" si="48"/>
        <v>0</v>
      </c>
      <c r="M141" s="29">
        <f>M142</f>
        <v>10949.71689</v>
      </c>
    </row>
    <row r="142" spans="1:13" s="12" customFormat="1" ht="72" customHeight="1" x14ac:dyDescent="0.35">
      <c r="A142" s="16"/>
      <c r="B142" s="546" t="s">
        <v>100</v>
      </c>
      <c r="C142" s="28" t="s">
        <v>1</v>
      </c>
      <c r="D142" s="15" t="s">
        <v>50</v>
      </c>
      <c r="E142" s="15" t="s">
        <v>77</v>
      </c>
      <c r="F142" s="676" t="s">
        <v>98</v>
      </c>
      <c r="G142" s="677" t="s">
        <v>44</v>
      </c>
      <c r="H142" s="677" t="s">
        <v>36</v>
      </c>
      <c r="I142" s="678" t="s">
        <v>101</v>
      </c>
      <c r="J142" s="15"/>
      <c r="K142" s="29">
        <f t="shared" si="48"/>
        <v>10949.71689</v>
      </c>
      <c r="L142" s="29">
        <f t="shared" si="48"/>
        <v>0</v>
      </c>
      <c r="M142" s="29">
        <f t="shared" si="48"/>
        <v>10949.71689</v>
      </c>
    </row>
    <row r="143" spans="1:13" s="116" customFormat="1" ht="54" customHeight="1" x14ac:dyDescent="0.35">
      <c r="A143" s="16"/>
      <c r="B143" s="497" t="s">
        <v>53</v>
      </c>
      <c r="C143" s="28" t="s">
        <v>1</v>
      </c>
      <c r="D143" s="15" t="s">
        <v>50</v>
      </c>
      <c r="E143" s="15" t="s">
        <v>77</v>
      </c>
      <c r="F143" s="676" t="s">
        <v>98</v>
      </c>
      <c r="G143" s="677" t="s">
        <v>44</v>
      </c>
      <c r="H143" s="677" t="s">
        <v>36</v>
      </c>
      <c r="I143" s="678" t="s">
        <v>101</v>
      </c>
      <c r="J143" s="15" t="s">
        <v>54</v>
      </c>
      <c r="K143" s="29">
        <f>6844.9+4104.81689</f>
        <v>10949.71689</v>
      </c>
      <c r="L143" s="29">
        <f>M143-K143</f>
        <v>0</v>
      </c>
      <c r="M143" s="29">
        <f>6844.9+4104.81689</f>
        <v>10949.71689</v>
      </c>
    </row>
    <row r="144" spans="1:13" s="12" customFormat="1" ht="36" customHeight="1" x14ac:dyDescent="0.35">
      <c r="A144" s="16"/>
      <c r="B144" s="545" t="s">
        <v>104</v>
      </c>
      <c r="C144" s="28" t="s">
        <v>1</v>
      </c>
      <c r="D144" s="15" t="s">
        <v>50</v>
      </c>
      <c r="E144" s="15" t="s">
        <v>98</v>
      </c>
      <c r="F144" s="676"/>
      <c r="G144" s="677"/>
      <c r="H144" s="677"/>
      <c r="I144" s="678"/>
      <c r="J144" s="15"/>
      <c r="K144" s="29">
        <f>K145+K154+K159</f>
        <v>2326.1</v>
      </c>
      <c r="L144" s="29">
        <f t="shared" ref="L144" si="49">L145+L154+L159</f>
        <v>0</v>
      </c>
      <c r="M144" s="29">
        <f>M145+M154+M159</f>
        <v>2326.1</v>
      </c>
    </row>
    <row r="145" spans="1:13" s="116" customFormat="1" ht="72" customHeight="1" x14ac:dyDescent="0.35">
      <c r="A145" s="16"/>
      <c r="B145" s="497" t="s">
        <v>105</v>
      </c>
      <c r="C145" s="28" t="s">
        <v>1</v>
      </c>
      <c r="D145" s="15" t="s">
        <v>50</v>
      </c>
      <c r="E145" s="15" t="s">
        <v>98</v>
      </c>
      <c r="F145" s="676" t="s">
        <v>69</v>
      </c>
      <c r="G145" s="677" t="s">
        <v>41</v>
      </c>
      <c r="H145" s="677" t="s">
        <v>42</v>
      </c>
      <c r="I145" s="678" t="s">
        <v>43</v>
      </c>
      <c r="J145" s="15"/>
      <c r="K145" s="29">
        <f>K146+K150</f>
        <v>1076.0999999999999</v>
      </c>
      <c r="L145" s="29">
        <f t="shared" ref="L145" si="50">L146+L150</f>
        <v>0</v>
      </c>
      <c r="M145" s="29">
        <f>M146+M150</f>
        <v>1076.0999999999999</v>
      </c>
    </row>
    <row r="146" spans="1:13" s="116" customFormat="1" ht="54" customHeight="1" x14ac:dyDescent="0.35">
      <c r="A146" s="16"/>
      <c r="B146" s="545" t="s">
        <v>106</v>
      </c>
      <c r="C146" s="28" t="s">
        <v>1</v>
      </c>
      <c r="D146" s="15" t="s">
        <v>50</v>
      </c>
      <c r="E146" s="15" t="s">
        <v>98</v>
      </c>
      <c r="F146" s="676" t="s">
        <v>69</v>
      </c>
      <c r="G146" s="677" t="s">
        <v>44</v>
      </c>
      <c r="H146" s="677" t="s">
        <v>42</v>
      </c>
      <c r="I146" s="678" t="s">
        <v>43</v>
      </c>
      <c r="J146" s="15"/>
      <c r="K146" s="29">
        <f t="shared" ref="K146:M148" si="51">K147</f>
        <v>350</v>
      </c>
      <c r="L146" s="29">
        <f t="shared" si="51"/>
        <v>0</v>
      </c>
      <c r="M146" s="29">
        <f t="shared" si="51"/>
        <v>350</v>
      </c>
    </row>
    <row r="147" spans="1:13" s="12" customFormat="1" ht="36" customHeight="1" x14ac:dyDescent="0.35">
      <c r="A147" s="16"/>
      <c r="B147" s="497" t="s">
        <v>107</v>
      </c>
      <c r="C147" s="28" t="s">
        <v>1</v>
      </c>
      <c r="D147" s="15" t="s">
        <v>50</v>
      </c>
      <c r="E147" s="15" t="s">
        <v>98</v>
      </c>
      <c r="F147" s="676" t="s">
        <v>69</v>
      </c>
      <c r="G147" s="677" t="s">
        <v>44</v>
      </c>
      <c r="H147" s="677" t="s">
        <v>36</v>
      </c>
      <c r="I147" s="678" t="s">
        <v>43</v>
      </c>
      <c r="J147" s="15"/>
      <c r="K147" s="29">
        <f t="shared" si="51"/>
        <v>350</v>
      </c>
      <c r="L147" s="29">
        <f t="shared" si="51"/>
        <v>0</v>
      </c>
      <c r="M147" s="29">
        <f t="shared" si="51"/>
        <v>350</v>
      </c>
    </row>
    <row r="148" spans="1:13" s="116" customFormat="1" ht="36" customHeight="1" x14ac:dyDescent="0.35">
      <c r="A148" s="16"/>
      <c r="B148" s="545" t="s">
        <v>108</v>
      </c>
      <c r="C148" s="28" t="s">
        <v>1</v>
      </c>
      <c r="D148" s="15" t="s">
        <v>50</v>
      </c>
      <c r="E148" s="15" t="s">
        <v>98</v>
      </c>
      <c r="F148" s="676" t="s">
        <v>69</v>
      </c>
      <c r="G148" s="677" t="s">
        <v>44</v>
      </c>
      <c r="H148" s="677" t="s">
        <v>36</v>
      </c>
      <c r="I148" s="678" t="s">
        <v>109</v>
      </c>
      <c r="J148" s="15"/>
      <c r="K148" s="29">
        <f>K149</f>
        <v>350</v>
      </c>
      <c r="L148" s="29">
        <f t="shared" si="51"/>
        <v>0</v>
      </c>
      <c r="M148" s="29">
        <f>M149</f>
        <v>350</v>
      </c>
    </row>
    <row r="149" spans="1:13" s="12" customFormat="1" ht="54" customHeight="1" x14ac:dyDescent="0.35">
      <c r="A149" s="16"/>
      <c r="B149" s="497" t="s">
        <v>53</v>
      </c>
      <c r="C149" s="28" t="s">
        <v>1</v>
      </c>
      <c r="D149" s="15" t="s">
        <v>50</v>
      </c>
      <c r="E149" s="15" t="s">
        <v>98</v>
      </c>
      <c r="F149" s="676" t="s">
        <v>69</v>
      </c>
      <c r="G149" s="677" t="s">
        <v>44</v>
      </c>
      <c r="H149" s="677" t="s">
        <v>36</v>
      </c>
      <c r="I149" s="678" t="s">
        <v>109</v>
      </c>
      <c r="J149" s="15" t="s">
        <v>54</v>
      </c>
      <c r="K149" s="29">
        <v>350</v>
      </c>
      <c r="L149" s="29">
        <f>M149-K149</f>
        <v>0</v>
      </c>
      <c r="M149" s="29">
        <v>350</v>
      </c>
    </row>
    <row r="150" spans="1:13" s="116" customFormat="1" ht="36" customHeight="1" x14ac:dyDescent="0.35">
      <c r="A150" s="16"/>
      <c r="B150" s="545" t="s">
        <v>110</v>
      </c>
      <c r="C150" s="28" t="s">
        <v>1</v>
      </c>
      <c r="D150" s="15" t="s">
        <v>50</v>
      </c>
      <c r="E150" s="15" t="s">
        <v>98</v>
      </c>
      <c r="F150" s="676" t="s">
        <v>69</v>
      </c>
      <c r="G150" s="677" t="s">
        <v>87</v>
      </c>
      <c r="H150" s="677" t="s">
        <v>42</v>
      </c>
      <c r="I150" s="678" t="s">
        <v>43</v>
      </c>
      <c r="J150" s="15"/>
      <c r="K150" s="29">
        <f t="shared" ref="K150:M152" si="52">K151</f>
        <v>726.1</v>
      </c>
      <c r="L150" s="29">
        <f t="shared" si="52"/>
        <v>0</v>
      </c>
      <c r="M150" s="29">
        <f t="shared" si="52"/>
        <v>726.1</v>
      </c>
    </row>
    <row r="151" spans="1:13" s="12" customFormat="1" ht="54" customHeight="1" x14ac:dyDescent="0.35">
      <c r="A151" s="16"/>
      <c r="B151" s="545" t="s">
        <v>111</v>
      </c>
      <c r="C151" s="28" t="s">
        <v>1</v>
      </c>
      <c r="D151" s="15" t="s">
        <v>50</v>
      </c>
      <c r="E151" s="15" t="s">
        <v>98</v>
      </c>
      <c r="F151" s="676" t="s">
        <v>69</v>
      </c>
      <c r="G151" s="677" t="s">
        <v>87</v>
      </c>
      <c r="H151" s="677" t="s">
        <v>36</v>
      </c>
      <c r="I151" s="678" t="s">
        <v>43</v>
      </c>
      <c r="J151" s="15"/>
      <c r="K151" s="29">
        <f t="shared" si="52"/>
        <v>726.1</v>
      </c>
      <c r="L151" s="29">
        <f t="shared" si="52"/>
        <v>0</v>
      </c>
      <c r="M151" s="29">
        <f t="shared" si="52"/>
        <v>726.1</v>
      </c>
    </row>
    <row r="152" spans="1:13" s="116" customFormat="1" ht="87" customHeight="1" x14ac:dyDescent="0.35">
      <c r="A152" s="16"/>
      <c r="B152" s="545" t="s">
        <v>112</v>
      </c>
      <c r="C152" s="28" t="s">
        <v>1</v>
      </c>
      <c r="D152" s="15" t="s">
        <v>50</v>
      </c>
      <c r="E152" s="15" t="s">
        <v>98</v>
      </c>
      <c r="F152" s="676" t="s">
        <v>69</v>
      </c>
      <c r="G152" s="677" t="s">
        <v>87</v>
      </c>
      <c r="H152" s="677" t="s">
        <v>36</v>
      </c>
      <c r="I152" s="678" t="s">
        <v>113</v>
      </c>
      <c r="J152" s="15"/>
      <c r="K152" s="29">
        <f t="shared" si="52"/>
        <v>726.1</v>
      </c>
      <c r="L152" s="29">
        <f t="shared" si="52"/>
        <v>0</v>
      </c>
      <c r="M152" s="29">
        <f t="shared" si="52"/>
        <v>726.1</v>
      </c>
    </row>
    <row r="153" spans="1:13" s="12" customFormat="1" ht="54" customHeight="1" x14ac:dyDescent="0.35">
      <c r="A153" s="16"/>
      <c r="B153" s="497" t="s">
        <v>53</v>
      </c>
      <c r="C153" s="28" t="s">
        <v>1</v>
      </c>
      <c r="D153" s="15" t="s">
        <v>50</v>
      </c>
      <c r="E153" s="15" t="s">
        <v>98</v>
      </c>
      <c r="F153" s="676" t="s">
        <v>69</v>
      </c>
      <c r="G153" s="677" t="s">
        <v>87</v>
      </c>
      <c r="H153" s="677" t="s">
        <v>36</v>
      </c>
      <c r="I153" s="678" t="s">
        <v>113</v>
      </c>
      <c r="J153" s="15" t="s">
        <v>54</v>
      </c>
      <c r="K153" s="29">
        <v>726.1</v>
      </c>
      <c r="L153" s="29">
        <f>M153-K153</f>
        <v>0</v>
      </c>
      <c r="M153" s="29">
        <v>726.1</v>
      </c>
    </row>
    <row r="154" spans="1:13" s="116" customFormat="1" ht="72" customHeight="1" x14ac:dyDescent="0.35">
      <c r="A154" s="16"/>
      <c r="B154" s="497" t="s">
        <v>114</v>
      </c>
      <c r="C154" s="28" t="s">
        <v>1</v>
      </c>
      <c r="D154" s="15" t="s">
        <v>50</v>
      </c>
      <c r="E154" s="15" t="s">
        <v>98</v>
      </c>
      <c r="F154" s="676" t="s">
        <v>86</v>
      </c>
      <c r="G154" s="677" t="s">
        <v>41</v>
      </c>
      <c r="H154" s="677" t="s">
        <v>42</v>
      </c>
      <c r="I154" s="678" t="s">
        <v>43</v>
      </c>
      <c r="J154" s="15"/>
      <c r="K154" s="29">
        <f t="shared" ref="K154:M157" si="53">K155</f>
        <v>50</v>
      </c>
      <c r="L154" s="29">
        <f t="shared" si="53"/>
        <v>0</v>
      </c>
      <c r="M154" s="29">
        <f t="shared" si="53"/>
        <v>50</v>
      </c>
    </row>
    <row r="155" spans="1:13" s="116" customFormat="1" ht="36" customHeight="1" x14ac:dyDescent="0.35">
      <c r="A155" s="16"/>
      <c r="B155" s="497" t="s">
        <v>335</v>
      </c>
      <c r="C155" s="28" t="s">
        <v>1</v>
      </c>
      <c r="D155" s="15" t="s">
        <v>50</v>
      </c>
      <c r="E155" s="15" t="s">
        <v>98</v>
      </c>
      <c r="F155" s="676" t="s">
        <v>86</v>
      </c>
      <c r="G155" s="677" t="s">
        <v>44</v>
      </c>
      <c r="H155" s="677" t="s">
        <v>42</v>
      </c>
      <c r="I155" s="678" t="s">
        <v>43</v>
      </c>
      <c r="J155" s="15"/>
      <c r="K155" s="29">
        <f t="shared" si="53"/>
        <v>50</v>
      </c>
      <c r="L155" s="29">
        <f t="shared" si="53"/>
        <v>0</v>
      </c>
      <c r="M155" s="29">
        <f t="shared" si="53"/>
        <v>50</v>
      </c>
    </row>
    <row r="156" spans="1:13" s="12" customFormat="1" ht="72" customHeight="1" x14ac:dyDescent="0.35">
      <c r="A156" s="16"/>
      <c r="B156" s="545" t="s">
        <v>303</v>
      </c>
      <c r="C156" s="28" t="s">
        <v>1</v>
      </c>
      <c r="D156" s="15" t="s">
        <v>50</v>
      </c>
      <c r="E156" s="15" t="s">
        <v>98</v>
      </c>
      <c r="F156" s="676" t="s">
        <v>86</v>
      </c>
      <c r="G156" s="677" t="s">
        <v>44</v>
      </c>
      <c r="H156" s="677" t="s">
        <v>36</v>
      </c>
      <c r="I156" s="678" t="s">
        <v>43</v>
      </c>
      <c r="J156" s="15"/>
      <c r="K156" s="29">
        <f>K157</f>
        <v>50</v>
      </c>
      <c r="L156" s="29">
        <f t="shared" si="53"/>
        <v>0</v>
      </c>
      <c r="M156" s="29">
        <f>M157</f>
        <v>50</v>
      </c>
    </row>
    <row r="157" spans="1:13" s="116" customFormat="1" ht="54" customHeight="1" x14ac:dyDescent="0.35">
      <c r="A157" s="16"/>
      <c r="B157" s="545" t="s">
        <v>115</v>
      </c>
      <c r="C157" s="28" t="s">
        <v>1</v>
      </c>
      <c r="D157" s="15" t="s">
        <v>50</v>
      </c>
      <c r="E157" s="15" t="s">
        <v>98</v>
      </c>
      <c r="F157" s="676" t="s">
        <v>86</v>
      </c>
      <c r="G157" s="677" t="s">
        <v>44</v>
      </c>
      <c r="H157" s="677" t="s">
        <v>36</v>
      </c>
      <c r="I157" s="678" t="s">
        <v>116</v>
      </c>
      <c r="J157" s="15"/>
      <c r="K157" s="29">
        <f t="shared" si="53"/>
        <v>50</v>
      </c>
      <c r="L157" s="29">
        <f t="shared" si="53"/>
        <v>0</v>
      </c>
      <c r="M157" s="29">
        <f t="shared" si="53"/>
        <v>50</v>
      </c>
    </row>
    <row r="158" spans="1:13" s="12" customFormat="1" ht="54" customHeight="1" x14ac:dyDescent="0.35">
      <c r="A158" s="16"/>
      <c r="B158" s="497" t="s">
        <v>53</v>
      </c>
      <c r="C158" s="28" t="s">
        <v>1</v>
      </c>
      <c r="D158" s="15" t="s">
        <v>50</v>
      </c>
      <c r="E158" s="15" t="s">
        <v>98</v>
      </c>
      <c r="F158" s="676" t="s">
        <v>86</v>
      </c>
      <c r="G158" s="677" t="s">
        <v>44</v>
      </c>
      <c r="H158" s="677" t="s">
        <v>36</v>
      </c>
      <c r="I158" s="678" t="s">
        <v>116</v>
      </c>
      <c r="J158" s="15" t="s">
        <v>54</v>
      </c>
      <c r="K158" s="29">
        <v>50</v>
      </c>
      <c r="L158" s="29">
        <f>M158-K158</f>
        <v>0</v>
      </c>
      <c r="M158" s="29">
        <v>50</v>
      </c>
    </row>
    <row r="159" spans="1:13" s="12" customFormat="1" ht="54" customHeight="1" x14ac:dyDescent="0.35">
      <c r="A159" s="16"/>
      <c r="B159" s="497" t="s">
        <v>39</v>
      </c>
      <c r="C159" s="28" t="s">
        <v>1</v>
      </c>
      <c r="D159" s="15" t="s">
        <v>50</v>
      </c>
      <c r="E159" s="15" t="s">
        <v>98</v>
      </c>
      <c r="F159" s="676" t="s">
        <v>40</v>
      </c>
      <c r="G159" s="677" t="s">
        <v>41</v>
      </c>
      <c r="H159" s="677" t="s">
        <v>42</v>
      </c>
      <c r="I159" s="678" t="s">
        <v>43</v>
      </c>
      <c r="J159" s="15"/>
      <c r="K159" s="29">
        <f t="shared" ref="K159:M162" si="54">K160</f>
        <v>1200</v>
      </c>
      <c r="L159" s="29">
        <f t="shared" si="54"/>
        <v>0</v>
      </c>
      <c r="M159" s="29">
        <f t="shared" si="54"/>
        <v>1200</v>
      </c>
    </row>
    <row r="160" spans="1:13" s="12" customFormat="1" ht="36" customHeight="1" x14ac:dyDescent="0.35">
      <c r="A160" s="16"/>
      <c r="B160" s="497" t="s">
        <v>335</v>
      </c>
      <c r="C160" s="28" t="s">
        <v>1</v>
      </c>
      <c r="D160" s="15" t="s">
        <v>50</v>
      </c>
      <c r="E160" s="15" t="s">
        <v>98</v>
      </c>
      <c r="F160" s="676" t="s">
        <v>40</v>
      </c>
      <c r="G160" s="677" t="s">
        <v>44</v>
      </c>
      <c r="H160" s="677" t="s">
        <v>42</v>
      </c>
      <c r="I160" s="678" t="s">
        <v>43</v>
      </c>
      <c r="J160" s="15"/>
      <c r="K160" s="29">
        <f>K161</f>
        <v>1200</v>
      </c>
      <c r="L160" s="29">
        <f t="shared" si="54"/>
        <v>0</v>
      </c>
      <c r="M160" s="29">
        <f>M161</f>
        <v>1200</v>
      </c>
    </row>
    <row r="161" spans="1:13" s="12" customFormat="1" ht="54" customHeight="1" x14ac:dyDescent="0.35">
      <c r="A161" s="16"/>
      <c r="B161" s="497" t="s">
        <v>327</v>
      </c>
      <c r="C161" s="28" t="s">
        <v>1</v>
      </c>
      <c r="D161" s="15" t="s">
        <v>50</v>
      </c>
      <c r="E161" s="15" t="s">
        <v>98</v>
      </c>
      <c r="F161" s="676" t="s">
        <v>40</v>
      </c>
      <c r="G161" s="677" t="s">
        <v>44</v>
      </c>
      <c r="H161" s="677" t="s">
        <v>86</v>
      </c>
      <c r="I161" s="678" t="s">
        <v>43</v>
      </c>
      <c r="J161" s="15"/>
      <c r="K161" s="29">
        <f>K162</f>
        <v>1200</v>
      </c>
      <c r="L161" s="29">
        <f t="shared" si="54"/>
        <v>0</v>
      </c>
      <c r="M161" s="29">
        <f>M162</f>
        <v>1200</v>
      </c>
    </row>
    <row r="162" spans="1:13" s="12" customFormat="1" ht="54" customHeight="1" x14ac:dyDescent="0.35">
      <c r="A162" s="16"/>
      <c r="B162" s="497" t="s">
        <v>562</v>
      </c>
      <c r="C162" s="28" t="s">
        <v>1</v>
      </c>
      <c r="D162" s="15" t="s">
        <v>50</v>
      </c>
      <c r="E162" s="15" t="s">
        <v>98</v>
      </c>
      <c r="F162" s="676" t="s">
        <v>40</v>
      </c>
      <c r="G162" s="677" t="s">
        <v>44</v>
      </c>
      <c r="H162" s="677" t="s">
        <v>86</v>
      </c>
      <c r="I162" s="678" t="s">
        <v>561</v>
      </c>
      <c r="J162" s="15"/>
      <c r="K162" s="29">
        <f>K163</f>
        <v>1200</v>
      </c>
      <c r="L162" s="29">
        <f t="shared" si="54"/>
        <v>0</v>
      </c>
      <c r="M162" s="29">
        <f>M163</f>
        <v>1200</v>
      </c>
    </row>
    <row r="163" spans="1:13" s="12" customFormat="1" ht="54" customHeight="1" x14ac:dyDescent="0.35">
      <c r="A163" s="16"/>
      <c r="B163" s="497" t="s">
        <v>53</v>
      </c>
      <c r="C163" s="28" t="s">
        <v>1</v>
      </c>
      <c r="D163" s="15" t="s">
        <v>50</v>
      </c>
      <c r="E163" s="15" t="s">
        <v>98</v>
      </c>
      <c r="F163" s="676" t="s">
        <v>40</v>
      </c>
      <c r="G163" s="677" t="s">
        <v>44</v>
      </c>
      <c r="H163" s="677" t="s">
        <v>86</v>
      </c>
      <c r="I163" s="678" t="s">
        <v>561</v>
      </c>
      <c r="J163" s="15" t="s">
        <v>54</v>
      </c>
      <c r="K163" s="29">
        <f>1164+36</f>
        <v>1200</v>
      </c>
      <c r="L163" s="29">
        <f>M163-K163</f>
        <v>0</v>
      </c>
      <c r="M163" s="29">
        <f>1164+36</f>
        <v>1200</v>
      </c>
    </row>
    <row r="164" spans="1:13" s="12" customFormat="1" ht="18" customHeight="1" x14ac:dyDescent="0.35">
      <c r="A164" s="16"/>
      <c r="B164" s="497" t="s">
        <v>174</v>
      </c>
      <c r="C164" s="28" t="s">
        <v>1</v>
      </c>
      <c r="D164" s="15" t="s">
        <v>63</v>
      </c>
      <c r="E164" s="15"/>
      <c r="F164" s="676"/>
      <c r="G164" s="677"/>
      <c r="H164" s="677"/>
      <c r="I164" s="678"/>
      <c r="J164" s="15"/>
      <c r="K164" s="254">
        <f>K165</f>
        <v>6131.1</v>
      </c>
      <c r="L164" s="254">
        <f t="shared" ref="L164" si="55">L165</f>
        <v>0</v>
      </c>
      <c r="M164" s="254">
        <f>M165</f>
        <v>6131.1</v>
      </c>
    </row>
    <row r="165" spans="1:13" s="12" customFormat="1" ht="18" customHeight="1" x14ac:dyDescent="0.35">
      <c r="A165" s="16"/>
      <c r="B165" s="578" t="s">
        <v>538</v>
      </c>
      <c r="C165" s="28" t="s">
        <v>1</v>
      </c>
      <c r="D165" s="15" t="s">
        <v>63</v>
      </c>
      <c r="E165" s="15" t="s">
        <v>61</v>
      </c>
      <c r="F165" s="676"/>
      <c r="G165" s="677"/>
      <c r="H165" s="677"/>
      <c r="I165" s="678"/>
      <c r="J165" s="15"/>
      <c r="K165" s="29">
        <f t="shared" ref="K165:M169" si="56">K166</f>
        <v>6131.1</v>
      </c>
      <c r="L165" s="29">
        <f t="shared" si="56"/>
        <v>0</v>
      </c>
      <c r="M165" s="29">
        <f t="shared" si="56"/>
        <v>6131.1</v>
      </c>
    </row>
    <row r="166" spans="1:13" s="12" customFormat="1" ht="72" customHeight="1" x14ac:dyDescent="0.35">
      <c r="A166" s="16"/>
      <c r="B166" s="578" t="s">
        <v>539</v>
      </c>
      <c r="C166" s="28" t="s">
        <v>1</v>
      </c>
      <c r="D166" s="15" t="s">
        <v>63</v>
      </c>
      <c r="E166" s="15" t="s">
        <v>61</v>
      </c>
      <c r="F166" s="676" t="s">
        <v>102</v>
      </c>
      <c r="G166" s="677" t="s">
        <v>41</v>
      </c>
      <c r="H166" s="677" t="s">
        <v>42</v>
      </c>
      <c r="I166" s="678" t="s">
        <v>43</v>
      </c>
      <c r="J166" s="15"/>
      <c r="K166" s="29">
        <f t="shared" si="56"/>
        <v>6131.1</v>
      </c>
      <c r="L166" s="29">
        <f t="shared" si="56"/>
        <v>0</v>
      </c>
      <c r="M166" s="29">
        <f t="shared" si="56"/>
        <v>6131.1</v>
      </c>
    </row>
    <row r="167" spans="1:13" s="12" customFormat="1" ht="54" customHeight="1" x14ac:dyDescent="0.35">
      <c r="A167" s="16"/>
      <c r="B167" s="578" t="s">
        <v>534</v>
      </c>
      <c r="C167" s="28" t="s">
        <v>1</v>
      </c>
      <c r="D167" s="15" t="s">
        <v>63</v>
      </c>
      <c r="E167" s="15" t="s">
        <v>61</v>
      </c>
      <c r="F167" s="676" t="s">
        <v>102</v>
      </c>
      <c r="G167" s="677" t="s">
        <v>33</v>
      </c>
      <c r="H167" s="677" t="s">
        <v>42</v>
      </c>
      <c r="I167" s="678" t="s">
        <v>43</v>
      </c>
      <c r="J167" s="15"/>
      <c r="K167" s="29">
        <f t="shared" si="56"/>
        <v>6131.1</v>
      </c>
      <c r="L167" s="29">
        <f t="shared" si="56"/>
        <v>0</v>
      </c>
      <c r="M167" s="29">
        <f t="shared" si="56"/>
        <v>6131.1</v>
      </c>
    </row>
    <row r="168" spans="1:13" s="12" customFormat="1" ht="54" customHeight="1" x14ac:dyDescent="0.35">
      <c r="A168" s="16"/>
      <c r="B168" s="578" t="s">
        <v>535</v>
      </c>
      <c r="C168" s="28" t="s">
        <v>1</v>
      </c>
      <c r="D168" s="15" t="s">
        <v>63</v>
      </c>
      <c r="E168" s="15" t="s">
        <v>61</v>
      </c>
      <c r="F168" s="676" t="s">
        <v>102</v>
      </c>
      <c r="G168" s="677" t="s">
        <v>33</v>
      </c>
      <c r="H168" s="677" t="s">
        <v>36</v>
      </c>
      <c r="I168" s="678" t="s">
        <v>43</v>
      </c>
      <c r="J168" s="15"/>
      <c r="K168" s="29">
        <f t="shared" si="56"/>
        <v>6131.1</v>
      </c>
      <c r="L168" s="29">
        <f t="shared" si="56"/>
        <v>0</v>
      </c>
      <c r="M168" s="29">
        <f t="shared" si="56"/>
        <v>6131.1</v>
      </c>
    </row>
    <row r="169" spans="1:13" s="12" customFormat="1" ht="36" customHeight="1" x14ac:dyDescent="0.35">
      <c r="A169" s="16"/>
      <c r="B169" s="578" t="s">
        <v>536</v>
      </c>
      <c r="C169" s="28" t="s">
        <v>1</v>
      </c>
      <c r="D169" s="15" t="s">
        <v>63</v>
      </c>
      <c r="E169" s="15" t="s">
        <v>61</v>
      </c>
      <c r="F169" s="676" t="s">
        <v>102</v>
      </c>
      <c r="G169" s="677" t="s">
        <v>33</v>
      </c>
      <c r="H169" s="677" t="s">
        <v>36</v>
      </c>
      <c r="I169" s="678" t="s">
        <v>537</v>
      </c>
      <c r="J169" s="15"/>
      <c r="K169" s="29">
        <f t="shared" si="56"/>
        <v>6131.1</v>
      </c>
      <c r="L169" s="29">
        <f t="shared" si="56"/>
        <v>0</v>
      </c>
      <c r="M169" s="29">
        <f t="shared" si="56"/>
        <v>6131.1</v>
      </c>
    </row>
    <row r="170" spans="1:13" s="12" customFormat="1" ht="54" customHeight="1" x14ac:dyDescent="0.35">
      <c r="A170" s="16"/>
      <c r="B170" s="578" t="s">
        <v>53</v>
      </c>
      <c r="C170" s="28" t="s">
        <v>1</v>
      </c>
      <c r="D170" s="15" t="s">
        <v>63</v>
      </c>
      <c r="E170" s="15" t="s">
        <v>61</v>
      </c>
      <c r="F170" s="676" t="s">
        <v>102</v>
      </c>
      <c r="G170" s="677" t="s">
        <v>33</v>
      </c>
      <c r="H170" s="677" t="s">
        <v>36</v>
      </c>
      <c r="I170" s="678" t="s">
        <v>537</v>
      </c>
      <c r="J170" s="15" t="s">
        <v>54</v>
      </c>
      <c r="K170" s="29">
        <v>6131.1</v>
      </c>
      <c r="L170" s="29">
        <f>M170-K170</f>
        <v>0</v>
      </c>
      <c r="M170" s="29">
        <v>6131.1</v>
      </c>
    </row>
    <row r="171" spans="1:13" s="12" customFormat="1" ht="18" customHeight="1" x14ac:dyDescent="0.35">
      <c r="A171" s="16"/>
      <c r="B171" s="497" t="s">
        <v>176</v>
      </c>
      <c r="C171" s="28" t="s">
        <v>1</v>
      </c>
      <c r="D171" s="15" t="s">
        <v>220</v>
      </c>
      <c r="E171" s="15"/>
      <c r="F171" s="676"/>
      <c r="G171" s="677"/>
      <c r="H171" s="677"/>
      <c r="I171" s="678"/>
      <c r="J171" s="15"/>
      <c r="K171" s="29">
        <f>K172</f>
        <v>191.6</v>
      </c>
      <c r="L171" s="29">
        <f t="shared" ref="L171" si="57">L172</f>
        <v>7.7</v>
      </c>
      <c r="M171" s="29">
        <f>M172</f>
        <v>199.29999999999998</v>
      </c>
    </row>
    <row r="172" spans="1:13" s="12" customFormat="1" ht="36" customHeight="1" x14ac:dyDescent="0.35">
      <c r="A172" s="16"/>
      <c r="B172" s="497" t="s">
        <v>494</v>
      </c>
      <c r="C172" s="28" t="s">
        <v>1</v>
      </c>
      <c r="D172" s="15" t="s">
        <v>220</v>
      </c>
      <c r="E172" s="15" t="s">
        <v>63</v>
      </c>
      <c r="F172" s="676"/>
      <c r="G172" s="677"/>
      <c r="H172" s="677"/>
      <c r="I172" s="678"/>
      <c r="J172" s="15"/>
      <c r="K172" s="29">
        <f t="shared" ref="K172:M176" si="58">K173</f>
        <v>191.6</v>
      </c>
      <c r="L172" s="29">
        <f t="shared" si="58"/>
        <v>7.7</v>
      </c>
      <c r="M172" s="29">
        <f t="shared" si="58"/>
        <v>199.29999999999998</v>
      </c>
    </row>
    <row r="173" spans="1:13" s="12" customFormat="1" ht="54" customHeight="1" x14ac:dyDescent="0.35">
      <c r="A173" s="16"/>
      <c r="B173" s="497" t="s">
        <v>39</v>
      </c>
      <c r="C173" s="28" t="s">
        <v>1</v>
      </c>
      <c r="D173" s="15" t="s">
        <v>220</v>
      </c>
      <c r="E173" s="15" t="s">
        <v>63</v>
      </c>
      <c r="F173" s="676" t="s">
        <v>40</v>
      </c>
      <c r="G173" s="677" t="s">
        <v>41</v>
      </c>
      <c r="H173" s="677" t="s">
        <v>42</v>
      </c>
      <c r="I173" s="678" t="s">
        <v>43</v>
      </c>
      <c r="J173" s="15"/>
      <c r="K173" s="29">
        <f t="shared" si="58"/>
        <v>191.6</v>
      </c>
      <c r="L173" s="29">
        <f t="shared" si="58"/>
        <v>7.7</v>
      </c>
      <c r="M173" s="29">
        <f t="shared" si="58"/>
        <v>199.29999999999998</v>
      </c>
    </row>
    <row r="174" spans="1:13" s="12" customFormat="1" ht="36" customHeight="1" x14ac:dyDescent="0.35">
      <c r="A174" s="16"/>
      <c r="B174" s="497" t="s">
        <v>335</v>
      </c>
      <c r="C174" s="28" t="s">
        <v>1</v>
      </c>
      <c r="D174" s="15" t="s">
        <v>220</v>
      </c>
      <c r="E174" s="15" t="s">
        <v>63</v>
      </c>
      <c r="F174" s="676" t="s">
        <v>40</v>
      </c>
      <c r="G174" s="677" t="s">
        <v>44</v>
      </c>
      <c r="H174" s="677" t="s">
        <v>42</v>
      </c>
      <c r="I174" s="678" t="s">
        <v>43</v>
      </c>
      <c r="J174" s="15"/>
      <c r="K174" s="29">
        <f t="shared" si="58"/>
        <v>191.6</v>
      </c>
      <c r="L174" s="29">
        <f>L175+L178</f>
        <v>7.7</v>
      </c>
      <c r="M174" s="29">
        <f>M175+M178</f>
        <v>199.29999999999998</v>
      </c>
    </row>
    <row r="175" spans="1:13" s="12" customFormat="1" ht="18" customHeight="1" x14ac:dyDescent="0.35">
      <c r="A175" s="16"/>
      <c r="B175" s="497" t="s">
        <v>60</v>
      </c>
      <c r="C175" s="28" t="s">
        <v>1</v>
      </c>
      <c r="D175" s="15" t="s">
        <v>220</v>
      </c>
      <c r="E175" s="15" t="s">
        <v>63</v>
      </c>
      <c r="F175" s="676" t="s">
        <v>40</v>
      </c>
      <c r="G175" s="677" t="s">
        <v>44</v>
      </c>
      <c r="H175" s="677" t="s">
        <v>61</v>
      </c>
      <c r="I175" s="678" t="s">
        <v>43</v>
      </c>
      <c r="J175" s="15"/>
      <c r="K175" s="29">
        <f t="shared" si="58"/>
        <v>191.6</v>
      </c>
      <c r="L175" s="29">
        <f t="shared" si="58"/>
        <v>0</v>
      </c>
      <c r="M175" s="29">
        <f t="shared" si="58"/>
        <v>191.6</v>
      </c>
    </row>
    <row r="176" spans="1:13" s="12" customFormat="1" ht="36" customHeight="1" x14ac:dyDescent="0.35">
      <c r="A176" s="16"/>
      <c r="B176" s="497" t="s">
        <v>496</v>
      </c>
      <c r="C176" s="28" t="s">
        <v>1</v>
      </c>
      <c r="D176" s="15" t="s">
        <v>220</v>
      </c>
      <c r="E176" s="15" t="s">
        <v>63</v>
      </c>
      <c r="F176" s="676" t="s">
        <v>40</v>
      </c>
      <c r="G176" s="677" t="s">
        <v>44</v>
      </c>
      <c r="H176" s="677" t="s">
        <v>61</v>
      </c>
      <c r="I176" s="678" t="s">
        <v>495</v>
      </c>
      <c r="J176" s="15"/>
      <c r="K176" s="29">
        <f t="shared" si="58"/>
        <v>191.6</v>
      </c>
      <c r="L176" s="29">
        <f t="shared" si="58"/>
        <v>0</v>
      </c>
      <c r="M176" s="29">
        <f t="shared" si="58"/>
        <v>191.6</v>
      </c>
    </row>
    <row r="177" spans="1:13" s="12" customFormat="1" ht="54" customHeight="1" x14ac:dyDescent="0.35">
      <c r="A177" s="16"/>
      <c r="B177" s="497" t="s">
        <v>53</v>
      </c>
      <c r="C177" s="28" t="s">
        <v>1</v>
      </c>
      <c r="D177" s="15" t="s">
        <v>220</v>
      </c>
      <c r="E177" s="15" t="s">
        <v>63</v>
      </c>
      <c r="F177" s="676" t="s">
        <v>40</v>
      </c>
      <c r="G177" s="677" t="s">
        <v>44</v>
      </c>
      <c r="H177" s="677" t="s">
        <v>61</v>
      </c>
      <c r="I177" s="678" t="s">
        <v>495</v>
      </c>
      <c r="J177" s="15" t="s">
        <v>54</v>
      </c>
      <c r="K177" s="29">
        <f>64.3+127.3</f>
        <v>191.6</v>
      </c>
      <c r="L177" s="29">
        <f>M177-K177</f>
        <v>0</v>
      </c>
      <c r="M177" s="29">
        <f>64.3+127.3</f>
        <v>191.6</v>
      </c>
    </row>
    <row r="178" spans="1:13" s="12" customFormat="1" ht="90" x14ac:dyDescent="0.35">
      <c r="A178" s="16"/>
      <c r="B178" s="497" t="s">
        <v>528</v>
      </c>
      <c r="C178" s="28" t="s">
        <v>1</v>
      </c>
      <c r="D178" s="15" t="s">
        <v>220</v>
      </c>
      <c r="E178" s="15" t="s">
        <v>63</v>
      </c>
      <c r="F178" s="676" t="s">
        <v>40</v>
      </c>
      <c r="G178" s="677" t="s">
        <v>44</v>
      </c>
      <c r="H178" s="677" t="s">
        <v>526</v>
      </c>
      <c r="I178" s="678" t="s">
        <v>43</v>
      </c>
      <c r="J178" s="15"/>
      <c r="K178" s="29"/>
      <c r="L178" s="29">
        <f>L179</f>
        <v>7.7</v>
      </c>
      <c r="M178" s="29">
        <f>M179</f>
        <v>7.7</v>
      </c>
    </row>
    <row r="179" spans="1:13" s="12" customFormat="1" ht="54" customHeight="1" x14ac:dyDescent="0.35">
      <c r="A179" s="16"/>
      <c r="B179" s="529" t="s">
        <v>454</v>
      </c>
      <c r="C179" s="28" t="s">
        <v>1</v>
      </c>
      <c r="D179" s="15" t="s">
        <v>220</v>
      </c>
      <c r="E179" s="15" t="s">
        <v>63</v>
      </c>
      <c r="F179" s="676" t="s">
        <v>40</v>
      </c>
      <c r="G179" s="677" t="s">
        <v>44</v>
      </c>
      <c r="H179" s="677" t="s">
        <v>526</v>
      </c>
      <c r="I179" s="678" t="s">
        <v>89</v>
      </c>
      <c r="J179" s="15"/>
      <c r="K179" s="29"/>
      <c r="L179" s="29">
        <f>L180</f>
        <v>7.7</v>
      </c>
      <c r="M179" s="29">
        <f>M180</f>
        <v>7.7</v>
      </c>
    </row>
    <row r="180" spans="1:13" s="12" customFormat="1" ht="54" customHeight="1" x14ac:dyDescent="0.35">
      <c r="A180" s="16"/>
      <c r="B180" s="497" t="s">
        <v>53</v>
      </c>
      <c r="C180" s="28" t="s">
        <v>1</v>
      </c>
      <c r="D180" s="15" t="s">
        <v>220</v>
      </c>
      <c r="E180" s="15" t="s">
        <v>63</v>
      </c>
      <c r="F180" s="676" t="s">
        <v>40</v>
      </c>
      <c r="G180" s="677" t="s">
        <v>44</v>
      </c>
      <c r="H180" s="677" t="s">
        <v>526</v>
      </c>
      <c r="I180" s="678" t="s">
        <v>89</v>
      </c>
      <c r="J180" s="15" t="s">
        <v>54</v>
      </c>
      <c r="K180" s="29"/>
      <c r="L180" s="29">
        <f>M180-K180</f>
        <v>7.7</v>
      </c>
      <c r="M180" s="29">
        <v>7.7</v>
      </c>
    </row>
    <row r="181" spans="1:13" s="116" customFormat="1" ht="18" customHeight="1" x14ac:dyDescent="0.35">
      <c r="A181" s="16"/>
      <c r="B181" s="497" t="s">
        <v>117</v>
      </c>
      <c r="C181" s="28" t="s">
        <v>1</v>
      </c>
      <c r="D181" s="15" t="s">
        <v>102</v>
      </c>
      <c r="E181" s="15"/>
      <c r="F181" s="676"/>
      <c r="G181" s="677"/>
      <c r="H181" s="677"/>
      <c r="I181" s="678"/>
      <c r="J181" s="15"/>
      <c r="K181" s="29">
        <f>K182+K194</f>
        <v>5251.1</v>
      </c>
      <c r="L181" s="29">
        <f>L182+L188+L194</f>
        <v>2779.5</v>
      </c>
      <c r="M181" s="29">
        <f>M182+M188+M194</f>
        <v>8030.6</v>
      </c>
    </row>
    <row r="182" spans="1:13" s="116" customFormat="1" ht="18" customHeight="1" x14ac:dyDescent="0.35">
      <c r="A182" s="16"/>
      <c r="B182" s="497" t="s">
        <v>351</v>
      </c>
      <c r="C182" s="28" t="s">
        <v>1</v>
      </c>
      <c r="D182" s="15" t="s">
        <v>102</v>
      </c>
      <c r="E182" s="15" t="s">
        <v>36</v>
      </c>
      <c r="F182" s="676"/>
      <c r="G182" s="677"/>
      <c r="H182" s="677"/>
      <c r="I182" s="678"/>
      <c r="J182" s="15"/>
      <c r="K182" s="29">
        <f t="shared" ref="K182:M186" si="59">K183</f>
        <v>1846.5</v>
      </c>
      <c r="L182" s="29">
        <f t="shared" si="59"/>
        <v>0</v>
      </c>
      <c r="M182" s="29">
        <f t="shared" si="59"/>
        <v>1846.5</v>
      </c>
    </row>
    <row r="183" spans="1:13" s="116" customFormat="1" ht="54" customHeight="1" x14ac:dyDescent="0.35">
      <c r="A183" s="16"/>
      <c r="B183" s="547" t="s">
        <v>291</v>
      </c>
      <c r="C183" s="28" t="s">
        <v>1</v>
      </c>
      <c r="D183" s="15" t="s">
        <v>102</v>
      </c>
      <c r="E183" s="15" t="s">
        <v>36</v>
      </c>
      <c r="F183" s="676" t="s">
        <v>77</v>
      </c>
      <c r="G183" s="677" t="s">
        <v>41</v>
      </c>
      <c r="H183" s="677" t="s">
        <v>42</v>
      </c>
      <c r="I183" s="678" t="s">
        <v>43</v>
      </c>
      <c r="J183" s="15"/>
      <c r="K183" s="29">
        <f t="shared" si="59"/>
        <v>1846.5</v>
      </c>
      <c r="L183" s="29">
        <f t="shared" si="59"/>
        <v>0</v>
      </c>
      <c r="M183" s="29">
        <f t="shared" si="59"/>
        <v>1846.5</v>
      </c>
    </row>
    <row r="184" spans="1:13" s="116" customFormat="1" ht="36" customHeight="1" x14ac:dyDescent="0.35">
      <c r="A184" s="16"/>
      <c r="B184" s="497" t="s">
        <v>335</v>
      </c>
      <c r="C184" s="28" t="s">
        <v>1</v>
      </c>
      <c r="D184" s="15" t="s">
        <v>102</v>
      </c>
      <c r="E184" s="15" t="s">
        <v>36</v>
      </c>
      <c r="F184" s="676" t="s">
        <v>77</v>
      </c>
      <c r="G184" s="677" t="s">
        <v>44</v>
      </c>
      <c r="H184" s="677" t="s">
        <v>42</v>
      </c>
      <c r="I184" s="678" t="s">
        <v>43</v>
      </c>
      <c r="J184" s="15"/>
      <c r="K184" s="29">
        <f t="shared" si="59"/>
        <v>1846.5</v>
      </c>
      <c r="L184" s="29">
        <f t="shared" si="59"/>
        <v>0</v>
      </c>
      <c r="M184" s="29">
        <f t="shared" si="59"/>
        <v>1846.5</v>
      </c>
    </row>
    <row r="185" spans="1:13" s="116" customFormat="1" ht="90" customHeight="1" x14ac:dyDescent="0.35">
      <c r="A185" s="16"/>
      <c r="B185" s="529" t="s">
        <v>438</v>
      </c>
      <c r="C185" s="28" t="s">
        <v>1</v>
      </c>
      <c r="D185" s="15" t="s">
        <v>102</v>
      </c>
      <c r="E185" s="15" t="s">
        <v>36</v>
      </c>
      <c r="F185" s="676" t="s">
        <v>77</v>
      </c>
      <c r="G185" s="677" t="s">
        <v>44</v>
      </c>
      <c r="H185" s="677" t="s">
        <v>50</v>
      </c>
      <c r="I185" s="678" t="s">
        <v>43</v>
      </c>
      <c r="J185" s="15"/>
      <c r="K185" s="29">
        <f t="shared" si="59"/>
        <v>1846.5</v>
      </c>
      <c r="L185" s="29">
        <f t="shared" si="59"/>
        <v>0</v>
      </c>
      <c r="M185" s="29">
        <f t="shared" si="59"/>
        <v>1846.5</v>
      </c>
    </row>
    <row r="186" spans="1:13" s="116" customFormat="1" ht="72" customHeight="1" x14ac:dyDescent="0.35">
      <c r="A186" s="16"/>
      <c r="B186" s="529" t="s">
        <v>434</v>
      </c>
      <c r="C186" s="28" t="s">
        <v>1</v>
      </c>
      <c r="D186" s="15" t="s">
        <v>102</v>
      </c>
      <c r="E186" s="15" t="s">
        <v>36</v>
      </c>
      <c r="F186" s="676" t="s">
        <v>77</v>
      </c>
      <c r="G186" s="677" t="s">
        <v>44</v>
      </c>
      <c r="H186" s="677" t="s">
        <v>50</v>
      </c>
      <c r="I186" s="678" t="s">
        <v>352</v>
      </c>
      <c r="J186" s="15"/>
      <c r="K186" s="29">
        <f t="shared" si="59"/>
        <v>1846.5</v>
      </c>
      <c r="L186" s="29">
        <f t="shared" si="59"/>
        <v>0</v>
      </c>
      <c r="M186" s="29">
        <f t="shared" si="59"/>
        <v>1846.5</v>
      </c>
    </row>
    <row r="187" spans="1:13" s="116" customFormat="1" ht="36" customHeight="1" x14ac:dyDescent="0.35">
      <c r="A187" s="16"/>
      <c r="B187" s="504" t="s">
        <v>118</v>
      </c>
      <c r="C187" s="28" t="s">
        <v>1</v>
      </c>
      <c r="D187" s="15" t="s">
        <v>102</v>
      </c>
      <c r="E187" s="15" t="s">
        <v>36</v>
      </c>
      <c r="F187" s="676" t="s">
        <v>77</v>
      </c>
      <c r="G187" s="677" t="s">
        <v>44</v>
      </c>
      <c r="H187" s="677" t="s">
        <v>50</v>
      </c>
      <c r="I187" s="678" t="s">
        <v>352</v>
      </c>
      <c r="J187" s="15" t="s">
        <v>119</v>
      </c>
      <c r="K187" s="29">
        <f>3000-1200+46.5</f>
        <v>1846.5</v>
      </c>
      <c r="L187" s="29">
        <f>M187-K187</f>
        <v>0</v>
      </c>
      <c r="M187" s="29">
        <f>3000-1200+46.5</f>
        <v>1846.5</v>
      </c>
    </row>
    <row r="188" spans="1:13" s="116" customFormat="1" ht="36" customHeight="1" x14ac:dyDescent="0.35">
      <c r="A188" s="16"/>
      <c r="B188" s="497" t="s">
        <v>680</v>
      </c>
      <c r="C188" s="28" t="s">
        <v>1</v>
      </c>
      <c r="D188" s="15" t="s">
        <v>102</v>
      </c>
      <c r="E188" s="15" t="s">
        <v>61</v>
      </c>
      <c r="F188" s="676"/>
      <c r="G188" s="677"/>
      <c r="H188" s="677"/>
      <c r="I188" s="678"/>
      <c r="J188" s="15"/>
      <c r="K188" s="29"/>
      <c r="L188" s="29">
        <f t="shared" ref="L188:M192" si="60">L189</f>
        <v>2779.5</v>
      </c>
      <c r="M188" s="29">
        <f t="shared" si="60"/>
        <v>2779.5</v>
      </c>
    </row>
    <row r="189" spans="1:13" s="116" customFormat="1" ht="36" customHeight="1" x14ac:dyDescent="0.35">
      <c r="A189" s="16"/>
      <c r="B189" s="547" t="s">
        <v>291</v>
      </c>
      <c r="C189" s="28" t="s">
        <v>1</v>
      </c>
      <c r="D189" s="15" t="s">
        <v>102</v>
      </c>
      <c r="E189" s="15" t="s">
        <v>61</v>
      </c>
      <c r="F189" s="676" t="s">
        <v>77</v>
      </c>
      <c r="G189" s="677" t="s">
        <v>41</v>
      </c>
      <c r="H189" s="677" t="s">
        <v>42</v>
      </c>
      <c r="I189" s="678" t="s">
        <v>43</v>
      </c>
      <c r="J189" s="15"/>
      <c r="K189" s="29"/>
      <c r="L189" s="29">
        <f t="shared" si="60"/>
        <v>2779.5</v>
      </c>
      <c r="M189" s="29">
        <f t="shared" si="60"/>
        <v>2779.5</v>
      </c>
    </row>
    <row r="190" spans="1:13" s="116" customFormat="1" ht="36" customHeight="1" x14ac:dyDescent="0.35">
      <c r="A190" s="16"/>
      <c r="B190" s="497" t="s">
        <v>335</v>
      </c>
      <c r="C190" s="28" t="s">
        <v>1</v>
      </c>
      <c r="D190" s="15" t="s">
        <v>102</v>
      </c>
      <c r="E190" s="15" t="s">
        <v>61</v>
      </c>
      <c r="F190" s="676" t="s">
        <v>77</v>
      </c>
      <c r="G190" s="677" t="s">
        <v>44</v>
      </c>
      <c r="H190" s="677" t="s">
        <v>42</v>
      </c>
      <c r="I190" s="678" t="s">
        <v>43</v>
      </c>
      <c r="J190" s="15"/>
      <c r="K190" s="29"/>
      <c r="L190" s="29">
        <f t="shared" si="60"/>
        <v>2779.5</v>
      </c>
      <c r="M190" s="29">
        <f t="shared" si="60"/>
        <v>2779.5</v>
      </c>
    </row>
    <row r="191" spans="1:13" s="116" customFormat="1" ht="36" customHeight="1" x14ac:dyDescent="0.35">
      <c r="A191" s="16"/>
      <c r="B191" s="502" t="s">
        <v>681</v>
      </c>
      <c r="C191" s="28" t="s">
        <v>1</v>
      </c>
      <c r="D191" s="15" t="s">
        <v>102</v>
      </c>
      <c r="E191" s="15" t="s">
        <v>61</v>
      </c>
      <c r="F191" s="676" t="s">
        <v>77</v>
      </c>
      <c r="G191" s="677" t="s">
        <v>44</v>
      </c>
      <c r="H191" s="677" t="s">
        <v>222</v>
      </c>
      <c r="I191" s="678" t="s">
        <v>43</v>
      </c>
      <c r="J191" s="15"/>
      <c r="K191" s="29"/>
      <c r="L191" s="29">
        <f t="shared" si="60"/>
        <v>2779.5</v>
      </c>
      <c r="M191" s="29">
        <f t="shared" si="60"/>
        <v>2779.5</v>
      </c>
    </row>
    <row r="192" spans="1:13" s="116" customFormat="1" ht="36" customHeight="1" x14ac:dyDescent="0.35">
      <c r="A192" s="16"/>
      <c r="B192" s="502" t="s">
        <v>682</v>
      </c>
      <c r="C192" s="28" t="s">
        <v>1</v>
      </c>
      <c r="D192" s="15" t="s">
        <v>102</v>
      </c>
      <c r="E192" s="15" t="s">
        <v>61</v>
      </c>
      <c r="F192" s="676" t="s">
        <v>77</v>
      </c>
      <c r="G192" s="677" t="s">
        <v>44</v>
      </c>
      <c r="H192" s="677" t="s">
        <v>222</v>
      </c>
      <c r="I192" s="678" t="s">
        <v>683</v>
      </c>
      <c r="J192" s="15"/>
      <c r="K192" s="29"/>
      <c r="L192" s="29">
        <f t="shared" si="60"/>
        <v>2779.5</v>
      </c>
      <c r="M192" s="29">
        <f t="shared" si="60"/>
        <v>2779.5</v>
      </c>
    </row>
    <row r="193" spans="1:13" s="116" customFormat="1" ht="36" customHeight="1" x14ac:dyDescent="0.35">
      <c r="A193" s="16"/>
      <c r="B193" s="496" t="s">
        <v>118</v>
      </c>
      <c r="C193" s="28" t="s">
        <v>1</v>
      </c>
      <c r="D193" s="15" t="s">
        <v>102</v>
      </c>
      <c r="E193" s="15" t="s">
        <v>61</v>
      </c>
      <c r="F193" s="676" t="s">
        <v>77</v>
      </c>
      <c r="G193" s="677" t="s">
        <v>44</v>
      </c>
      <c r="H193" s="677" t="s">
        <v>222</v>
      </c>
      <c r="I193" s="678" t="s">
        <v>683</v>
      </c>
      <c r="J193" s="15" t="s">
        <v>119</v>
      </c>
      <c r="K193" s="29"/>
      <c r="L193" s="29">
        <f>M193-K193</f>
        <v>2779.5</v>
      </c>
      <c r="M193" s="29">
        <v>2779.5</v>
      </c>
    </row>
    <row r="194" spans="1:13" s="116" customFormat="1" ht="36" customHeight="1" x14ac:dyDescent="0.35">
      <c r="A194" s="16"/>
      <c r="B194" s="497" t="s">
        <v>120</v>
      </c>
      <c r="C194" s="28" t="s">
        <v>1</v>
      </c>
      <c r="D194" s="15" t="s">
        <v>102</v>
      </c>
      <c r="E194" s="15" t="s">
        <v>79</v>
      </c>
      <c r="F194" s="676"/>
      <c r="G194" s="677"/>
      <c r="H194" s="677"/>
      <c r="I194" s="678"/>
      <c r="J194" s="15"/>
      <c r="K194" s="29">
        <f>K195</f>
        <v>3404.6</v>
      </c>
      <c r="L194" s="29">
        <f t="shared" ref="L194" si="61">L195</f>
        <v>0</v>
      </c>
      <c r="M194" s="29">
        <f>M195</f>
        <v>3404.6</v>
      </c>
    </row>
    <row r="195" spans="1:13" s="116" customFormat="1" ht="72" customHeight="1" x14ac:dyDescent="0.35">
      <c r="A195" s="16"/>
      <c r="B195" s="497" t="s">
        <v>70</v>
      </c>
      <c r="C195" s="28" t="s">
        <v>1</v>
      </c>
      <c r="D195" s="15" t="s">
        <v>102</v>
      </c>
      <c r="E195" s="15" t="s">
        <v>79</v>
      </c>
      <c r="F195" s="676" t="s">
        <v>71</v>
      </c>
      <c r="G195" s="677" t="s">
        <v>41</v>
      </c>
      <c r="H195" s="677" t="s">
        <v>42</v>
      </c>
      <c r="I195" s="678" t="s">
        <v>43</v>
      </c>
      <c r="J195" s="15"/>
      <c r="K195" s="29">
        <f t="shared" ref="K195:M198" si="62">K196</f>
        <v>3404.6</v>
      </c>
      <c r="L195" s="29">
        <f t="shared" si="62"/>
        <v>0</v>
      </c>
      <c r="M195" s="29">
        <f t="shared" si="62"/>
        <v>3404.6</v>
      </c>
    </row>
    <row r="196" spans="1:13" s="116" customFormat="1" ht="36" customHeight="1" x14ac:dyDescent="0.35">
      <c r="A196" s="16"/>
      <c r="B196" s="497" t="s">
        <v>335</v>
      </c>
      <c r="C196" s="28" t="s">
        <v>1</v>
      </c>
      <c r="D196" s="15" t="s">
        <v>102</v>
      </c>
      <c r="E196" s="15" t="s">
        <v>79</v>
      </c>
      <c r="F196" s="676" t="s">
        <v>71</v>
      </c>
      <c r="G196" s="677" t="s">
        <v>44</v>
      </c>
      <c r="H196" s="677" t="s">
        <v>42</v>
      </c>
      <c r="I196" s="678" t="s">
        <v>43</v>
      </c>
      <c r="J196" s="15"/>
      <c r="K196" s="29">
        <f t="shared" si="62"/>
        <v>3404.6</v>
      </c>
      <c r="L196" s="29">
        <f t="shared" si="62"/>
        <v>0</v>
      </c>
      <c r="M196" s="29">
        <f t="shared" si="62"/>
        <v>3404.6</v>
      </c>
    </row>
    <row r="197" spans="1:13" s="116" customFormat="1" ht="54" customHeight="1" x14ac:dyDescent="0.35">
      <c r="A197" s="16"/>
      <c r="B197" s="529" t="s">
        <v>262</v>
      </c>
      <c r="C197" s="28" t="s">
        <v>1</v>
      </c>
      <c r="D197" s="15" t="s">
        <v>102</v>
      </c>
      <c r="E197" s="15" t="s">
        <v>79</v>
      </c>
      <c r="F197" s="676" t="s">
        <v>71</v>
      </c>
      <c r="G197" s="677" t="s">
        <v>44</v>
      </c>
      <c r="H197" s="677" t="s">
        <v>36</v>
      </c>
      <c r="I197" s="678" t="s">
        <v>43</v>
      </c>
      <c r="J197" s="15"/>
      <c r="K197" s="29">
        <f t="shared" si="62"/>
        <v>3404.6</v>
      </c>
      <c r="L197" s="29">
        <f t="shared" si="62"/>
        <v>0</v>
      </c>
      <c r="M197" s="29">
        <f t="shared" si="62"/>
        <v>3404.6</v>
      </c>
    </row>
    <row r="198" spans="1:13" s="116" customFormat="1" ht="54" customHeight="1" x14ac:dyDescent="0.35">
      <c r="A198" s="16"/>
      <c r="B198" s="529" t="s">
        <v>72</v>
      </c>
      <c r="C198" s="28" t="s">
        <v>1</v>
      </c>
      <c r="D198" s="15" t="s">
        <v>102</v>
      </c>
      <c r="E198" s="15" t="s">
        <v>79</v>
      </c>
      <c r="F198" s="676" t="s">
        <v>71</v>
      </c>
      <c r="G198" s="677" t="s">
        <v>44</v>
      </c>
      <c r="H198" s="677" t="s">
        <v>36</v>
      </c>
      <c r="I198" s="678" t="s">
        <v>73</v>
      </c>
      <c r="J198" s="15"/>
      <c r="K198" s="29">
        <f t="shared" si="62"/>
        <v>3404.6</v>
      </c>
      <c r="L198" s="29">
        <f t="shared" si="62"/>
        <v>0</v>
      </c>
      <c r="M198" s="29">
        <f t="shared" si="62"/>
        <v>3404.6</v>
      </c>
    </row>
    <row r="199" spans="1:13" s="116" customFormat="1" ht="54" customHeight="1" x14ac:dyDescent="0.35">
      <c r="A199" s="16"/>
      <c r="B199" s="504" t="s">
        <v>74</v>
      </c>
      <c r="C199" s="28" t="s">
        <v>1</v>
      </c>
      <c r="D199" s="15" t="s">
        <v>102</v>
      </c>
      <c r="E199" s="15" t="s">
        <v>79</v>
      </c>
      <c r="F199" s="676" t="s">
        <v>71</v>
      </c>
      <c r="G199" s="677" t="s">
        <v>44</v>
      </c>
      <c r="H199" s="677" t="s">
        <v>36</v>
      </c>
      <c r="I199" s="678" t="s">
        <v>73</v>
      </c>
      <c r="J199" s="15" t="s">
        <v>75</v>
      </c>
      <c r="K199" s="29">
        <f>1322.2+2000+82.4</f>
        <v>3404.6</v>
      </c>
      <c r="L199" s="29">
        <f>M199-K199</f>
        <v>0</v>
      </c>
      <c r="M199" s="29">
        <f>1322.2+2000+82.4</f>
        <v>3404.6</v>
      </c>
    </row>
    <row r="200" spans="1:13" s="116" customFormat="1" ht="36" x14ac:dyDescent="0.35">
      <c r="A200" s="16"/>
      <c r="B200" s="239" t="s">
        <v>592</v>
      </c>
      <c r="C200" s="28" t="s">
        <v>1</v>
      </c>
      <c r="D200" s="15" t="s">
        <v>69</v>
      </c>
      <c r="E200" s="15"/>
      <c r="F200" s="676"/>
      <c r="G200" s="677"/>
      <c r="H200" s="677"/>
      <c r="I200" s="678"/>
      <c r="J200" s="15"/>
      <c r="K200" s="29">
        <f t="shared" ref="K200:M205" si="63">K201</f>
        <v>36</v>
      </c>
      <c r="L200" s="29">
        <f t="shared" si="63"/>
        <v>0</v>
      </c>
      <c r="M200" s="29">
        <f t="shared" si="63"/>
        <v>36</v>
      </c>
    </row>
    <row r="201" spans="1:13" s="116" customFormat="1" ht="36" x14ac:dyDescent="0.35">
      <c r="A201" s="16"/>
      <c r="B201" s="626" t="s">
        <v>593</v>
      </c>
      <c r="C201" s="28" t="s">
        <v>1</v>
      </c>
      <c r="D201" s="15" t="s">
        <v>69</v>
      </c>
      <c r="E201" s="15" t="s">
        <v>36</v>
      </c>
      <c r="F201" s="676"/>
      <c r="G201" s="677"/>
      <c r="H201" s="677"/>
      <c r="I201" s="678"/>
      <c r="J201" s="15"/>
      <c r="K201" s="29">
        <f t="shared" si="63"/>
        <v>36</v>
      </c>
      <c r="L201" s="29">
        <f t="shared" si="63"/>
        <v>0</v>
      </c>
      <c r="M201" s="29">
        <f t="shared" si="63"/>
        <v>36</v>
      </c>
    </row>
    <row r="202" spans="1:13" s="116" customFormat="1" ht="54" x14ac:dyDescent="0.35">
      <c r="A202" s="16"/>
      <c r="B202" s="578" t="s">
        <v>39</v>
      </c>
      <c r="C202" s="28" t="s">
        <v>1</v>
      </c>
      <c r="D202" s="15" t="s">
        <v>69</v>
      </c>
      <c r="E202" s="15" t="s">
        <v>36</v>
      </c>
      <c r="F202" s="676" t="s">
        <v>40</v>
      </c>
      <c r="G202" s="677" t="s">
        <v>41</v>
      </c>
      <c r="H202" s="677" t="s">
        <v>42</v>
      </c>
      <c r="I202" s="678" t="s">
        <v>43</v>
      </c>
      <c r="J202" s="15"/>
      <c r="K202" s="29">
        <f t="shared" si="63"/>
        <v>36</v>
      </c>
      <c r="L202" s="29">
        <f t="shared" si="63"/>
        <v>0</v>
      </c>
      <c r="M202" s="29">
        <f t="shared" si="63"/>
        <v>36</v>
      </c>
    </row>
    <row r="203" spans="1:13" s="116" customFormat="1" ht="36" x14ac:dyDescent="0.35">
      <c r="A203" s="16"/>
      <c r="B203" s="578" t="s">
        <v>335</v>
      </c>
      <c r="C203" s="28" t="s">
        <v>1</v>
      </c>
      <c r="D203" s="15" t="s">
        <v>69</v>
      </c>
      <c r="E203" s="15" t="s">
        <v>36</v>
      </c>
      <c r="F203" s="676" t="s">
        <v>40</v>
      </c>
      <c r="G203" s="677" t="s">
        <v>44</v>
      </c>
      <c r="H203" s="677" t="s">
        <v>42</v>
      </c>
      <c r="I203" s="678" t="s">
        <v>43</v>
      </c>
      <c r="J203" s="15"/>
      <c r="K203" s="29">
        <f t="shared" si="63"/>
        <v>36</v>
      </c>
      <c r="L203" s="29">
        <f t="shared" si="63"/>
        <v>0</v>
      </c>
      <c r="M203" s="29">
        <f t="shared" si="63"/>
        <v>36</v>
      </c>
    </row>
    <row r="204" spans="1:13" s="116" customFormat="1" ht="54" x14ac:dyDescent="0.35">
      <c r="A204" s="16"/>
      <c r="B204" s="627" t="s">
        <v>594</v>
      </c>
      <c r="C204" s="28" t="s">
        <v>1</v>
      </c>
      <c r="D204" s="15" t="s">
        <v>69</v>
      </c>
      <c r="E204" s="15" t="s">
        <v>36</v>
      </c>
      <c r="F204" s="676" t="s">
        <v>40</v>
      </c>
      <c r="G204" s="677" t="s">
        <v>44</v>
      </c>
      <c r="H204" s="677" t="s">
        <v>77</v>
      </c>
      <c r="I204" s="678" t="s">
        <v>43</v>
      </c>
      <c r="J204" s="15"/>
      <c r="K204" s="29">
        <f t="shared" si="63"/>
        <v>36</v>
      </c>
      <c r="L204" s="29">
        <f t="shared" si="63"/>
        <v>0</v>
      </c>
      <c r="M204" s="29">
        <f t="shared" si="63"/>
        <v>36</v>
      </c>
    </row>
    <row r="205" spans="1:13" s="116" customFormat="1" ht="36" x14ac:dyDescent="0.35">
      <c r="A205" s="16"/>
      <c r="B205" s="627" t="s">
        <v>595</v>
      </c>
      <c r="C205" s="28" t="s">
        <v>1</v>
      </c>
      <c r="D205" s="15" t="s">
        <v>69</v>
      </c>
      <c r="E205" s="15" t="s">
        <v>36</v>
      </c>
      <c r="F205" s="676" t="s">
        <v>40</v>
      </c>
      <c r="G205" s="677" t="s">
        <v>44</v>
      </c>
      <c r="H205" s="677" t="s">
        <v>77</v>
      </c>
      <c r="I205" s="678" t="s">
        <v>596</v>
      </c>
      <c r="J205" s="15"/>
      <c r="K205" s="29">
        <f t="shared" si="63"/>
        <v>36</v>
      </c>
      <c r="L205" s="29">
        <f t="shared" si="63"/>
        <v>0</v>
      </c>
      <c r="M205" s="29">
        <f t="shared" si="63"/>
        <v>36</v>
      </c>
    </row>
    <row r="206" spans="1:13" s="116" customFormat="1" ht="36" x14ac:dyDescent="0.35">
      <c r="A206" s="16"/>
      <c r="B206" s="627" t="s">
        <v>592</v>
      </c>
      <c r="C206" s="28" t="s">
        <v>1</v>
      </c>
      <c r="D206" s="15" t="s">
        <v>69</v>
      </c>
      <c r="E206" s="15" t="s">
        <v>36</v>
      </c>
      <c r="F206" s="676" t="s">
        <v>40</v>
      </c>
      <c r="G206" s="677" t="s">
        <v>44</v>
      </c>
      <c r="H206" s="677" t="s">
        <v>77</v>
      </c>
      <c r="I206" s="678" t="s">
        <v>596</v>
      </c>
      <c r="J206" s="15" t="s">
        <v>597</v>
      </c>
      <c r="K206" s="29">
        <v>36</v>
      </c>
      <c r="L206" s="29">
        <f>M206-K206</f>
        <v>0</v>
      </c>
      <c r="M206" s="29">
        <v>36</v>
      </c>
    </row>
    <row r="207" spans="1:13" s="116" customFormat="1" ht="54" x14ac:dyDescent="0.35">
      <c r="A207" s="16"/>
      <c r="B207" s="578" t="s">
        <v>197</v>
      </c>
      <c r="C207" s="28" t="s">
        <v>1</v>
      </c>
      <c r="D207" s="15" t="s">
        <v>86</v>
      </c>
      <c r="E207" s="15"/>
      <c r="F207" s="676"/>
      <c r="G207" s="677"/>
      <c r="H207" s="677"/>
      <c r="I207" s="678"/>
      <c r="J207" s="15"/>
      <c r="K207" s="29"/>
      <c r="L207" s="29">
        <f t="shared" ref="L207:M212" si="64">L208</f>
        <v>27915</v>
      </c>
      <c r="M207" s="29">
        <f t="shared" si="64"/>
        <v>27915</v>
      </c>
    </row>
    <row r="208" spans="1:13" s="116" customFormat="1" ht="36" x14ac:dyDescent="0.35">
      <c r="A208" s="16"/>
      <c r="B208" s="627" t="s">
        <v>661</v>
      </c>
      <c r="C208" s="28" t="s">
        <v>1</v>
      </c>
      <c r="D208" s="15" t="s">
        <v>86</v>
      </c>
      <c r="E208" s="15" t="s">
        <v>61</v>
      </c>
      <c r="F208" s="676"/>
      <c r="G208" s="677"/>
      <c r="H208" s="677"/>
      <c r="I208" s="678"/>
      <c r="J208" s="15"/>
      <c r="K208" s="29"/>
      <c r="L208" s="29">
        <f>L209+L214</f>
        <v>27915</v>
      </c>
      <c r="M208" s="29">
        <f>M209+M214</f>
        <v>27915</v>
      </c>
    </row>
    <row r="209" spans="1:13" s="116" customFormat="1" ht="108" x14ac:dyDescent="0.35">
      <c r="A209" s="16"/>
      <c r="B209" s="627" t="s">
        <v>662</v>
      </c>
      <c r="C209" s="28" t="s">
        <v>1</v>
      </c>
      <c r="D209" s="15" t="s">
        <v>86</v>
      </c>
      <c r="E209" s="15" t="s">
        <v>61</v>
      </c>
      <c r="F209" s="676" t="s">
        <v>663</v>
      </c>
      <c r="G209" s="677" t="s">
        <v>41</v>
      </c>
      <c r="H209" s="677" t="s">
        <v>42</v>
      </c>
      <c r="I209" s="678" t="s">
        <v>43</v>
      </c>
      <c r="J209" s="15"/>
      <c r="K209" s="29"/>
      <c r="L209" s="29">
        <f t="shared" si="64"/>
        <v>972.6</v>
      </c>
      <c r="M209" s="29">
        <f t="shared" si="64"/>
        <v>972.6</v>
      </c>
    </row>
    <row r="210" spans="1:13" s="116" customFormat="1" ht="108" x14ac:dyDescent="0.35">
      <c r="A210" s="16"/>
      <c r="B210" s="627" t="s">
        <v>664</v>
      </c>
      <c r="C210" s="28" t="s">
        <v>1</v>
      </c>
      <c r="D210" s="15" t="s">
        <v>86</v>
      </c>
      <c r="E210" s="15" t="s">
        <v>61</v>
      </c>
      <c r="F210" s="676" t="s">
        <v>663</v>
      </c>
      <c r="G210" s="677" t="s">
        <v>87</v>
      </c>
      <c r="H210" s="677" t="s">
        <v>42</v>
      </c>
      <c r="I210" s="678" t="s">
        <v>43</v>
      </c>
      <c r="J210" s="15"/>
      <c r="K210" s="29"/>
      <c r="L210" s="29">
        <f t="shared" si="64"/>
        <v>972.6</v>
      </c>
      <c r="M210" s="29">
        <f t="shared" si="64"/>
        <v>972.6</v>
      </c>
    </row>
    <row r="211" spans="1:13" s="116" customFormat="1" ht="72" x14ac:dyDescent="0.35">
      <c r="A211" s="16"/>
      <c r="B211" s="504" t="s">
        <v>667</v>
      </c>
      <c r="C211" s="28" t="s">
        <v>1</v>
      </c>
      <c r="D211" s="15" t="s">
        <v>86</v>
      </c>
      <c r="E211" s="15" t="s">
        <v>61</v>
      </c>
      <c r="F211" s="676" t="s">
        <v>663</v>
      </c>
      <c r="G211" s="677" t="s">
        <v>87</v>
      </c>
      <c r="H211" s="677" t="s">
        <v>36</v>
      </c>
      <c r="I211" s="678" t="s">
        <v>43</v>
      </c>
      <c r="J211" s="15"/>
      <c r="K211" s="29"/>
      <c r="L211" s="29">
        <f t="shared" si="64"/>
        <v>972.6</v>
      </c>
      <c r="M211" s="29">
        <f t="shared" si="64"/>
        <v>972.6</v>
      </c>
    </row>
    <row r="212" spans="1:13" s="116" customFormat="1" ht="72" x14ac:dyDescent="0.35">
      <c r="A212" s="16"/>
      <c r="B212" s="504" t="s">
        <v>665</v>
      </c>
      <c r="C212" s="28" t="s">
        <v>1</v>
      </c>
      <c r="D212" s="15" t="s">
        <v>86</v>
      </c>
      <c r="E212" s="15" t="s">
        <v>61</v>
      </c>
      <c r="F212" s="676" t="s">
        <v>663</v>
      </c>
      <c r="G212" s="677" t="s">
        <v>87</v>
      </c>
      <c r="H212" s="677" t="s">
        <v>36</v>
      </c>
      <c r="I212" s="678" t="s">
        <v>666</v>
      </c>
      <c r="J212" s="15"/>
      <c r="K212" s="29"/>
      <c r="L212" s="29">
        <f t="shared" si="64"/>
        <v>972.6</v>
      </c>
      <c r="M212" s="29">
        <f t="shared" si="64"/>
        <v>972.6</v>
      </c>
    </row>
    <row r="213" spans="1:13" s="116" customFormat="1" ht="18" x14ac:dyDescent="0.35">
      <c r="A213" s="16"/>
      <c r="B213" s="627" t="s">
        <v>121</v>
      </c>
      <c r="C213" s="28" t="s">
        <v>1</v>
      </c>
      <c r="D213" s="15" t="s">
        <v>86</v>
      </c>
      <c r="E213" s="15" t="s">
        <v>61</v>
      </c>
      <c r="F213" s="676" t="s">
        <v>663</v>
      </c>
      <c r="G213" s="677" t="s">
        <v>87</v>
      </c>
      <c r="H213" s="677" t="s">
        <v>36</v>
      </c>
      <c r="I213" s="678" t="s">
        <v>666</v>
      </c>
      <c r="J213" s="15" t="s">
        <v>122</v>
      </c>
      <c r="K213" s="29"/>
      <c r="L213" s="29">
        <f>M213-K213</f>
        <v>972.6</v>
      </c>
      <c r="M213" s="29">
        <v>972.6</v>
      </c>
    </row>
    <row r="214" spans="1:13" s="116" customFormat="1" ht="36" x14ac:dyDescent="0.35">
      <c r="A214" s="16"/>
      <c r="B214" s="497" t="s">
        <v>436</v>
      </c>
      <c r="C214" s="28" t="s">
        <v>1</v>
      </c>
      <c r="D214" s="15" t="s">
        <v>86</v>
      </c>
      <c r="E214" s="15" t="s">
        <v>61</v>
      </c>
      <c r="F214" s="676" t="s">
        <v>66</v>
      </c>
      <c r="G214" s="677" t="s">
        <v>41</v>
      </c>
      <c r="H214" s="677" t="s">
        <v>42</v>
      </c>
      <c r="I214" s="678" t="s">
        <v>43</v>
      </c>
      <c r="J214" s="269"/>
      <c r="K214" s="29"/>
      <c r="L214" s="29">
        <f t="shared" ref="L214:M216" si="65">L215</f>
        <v>26942.400000000001</v>
      </c>
      <c r="M214" s="29">
        <f t="shared" si="65"/>
        <v>26942.400000000001</v>
      </c>
    </row>
    <row r="215" spans="1:13" s="116" customFormat="1" ht="18" x14ac:dyDescent="0.35">
      <c r="A215" s="16"/>
      <c r="B215" s="497" t="s">
        <v>437</v>
      </c>
      <c r="C215" s="28" t="s">
        <v>1</v>
      </c>
      <c r="D215" s="15" t="s">
        <v>86</v>
      </c>
      <c r="E215" s="15" t="s">
        <v>61</v>
      </c>
      <c r="F215" s="676" t="s">
        <v>66</v>
      </c>
      <c r="G215" s="677" t="s">
        <v>44</v>
      </c>
      <c r="H215" s="677" t="s">
        <v>42</v>
      </c>
      <c r="I215" s="678" t="s">
        <v>43</v>
      </c>
      <c r="J215" s="269"/>
      <c r="K215" s="29"/>
      <c r="L215" s="29">
        <f t="shared" si="65"/>
        <v>26942.400000000001</v>
      </c>
      <c r="M215" s="29">
        <f t="shared" si="65"/>
        <v>26942.400000000001</v>
      </c>
    </row>
    <row r="216" spans="1:13" s="116" customFormat="1" ht="36" x14ac:dyDescent="0.35">
      <c r="A216" s="16"/>
      <c r="B216" s="497" t="s">
        <v>678</v>
      </c>
      <c r="C216" s="28" t="s">
        <v>1</v>
      </c>
      <c r="D216" s="15" t="s">
        <v>86</v>
      </c>
      <c r="E216" s="15" t="s">
        <v>61</v>
      </c>
      <c r="F216" s="676" t="s">
        <v>66</v>
      </c>
      <c r="G216" s="677" t="s">
        <v>44</v>
      </c>
      <c r="H216" s="677" t="s">
        <v>42</v>
      </c>
      <c r="I216" s="678" t="s">
        <v>679</v>
      </c>
      <c r="J216" s="269"/>
      <c r="K216" s="29"/>
      <c r="L216" s="29">
        <f t="shared" si="65"/>
        <v>26942.400000000001</v>
      </c>
      <c r="M216" s="29">
        <f t="shared" si="65"/>
        <v>26942.400000000001</v>
      </c>
    </row>
    <row r="217" spans="1:13" s="116" customFormat="1" ht="18" x14ac:dyDescent="0.35">
      <c r="A217" s="16"/>
      <c r="B217" s="497" t="s">
        <v>121</v>
      </c>
      <c r="C217" s="28" t="s">
        <v>1</v>
      </c>
      <c r="D217" s="15" t="s">
        <v>86</v>
      </c>
      <c r="E217" s="15" t="s">
        <v>61</v>
      </c>
      <c r="F217" s="676" t="s">
        <v>66</v>
      </c>
      <c r="G217" s="677" t="s">
        <v>44</v>
      </c>
      <c r="H217" s="677" t="s">
        <v>42</v>
      </c>
      <c r="I217" s="678" t="s">
        <v>679</v>
      </c>
      <c r="J217" s="13">
        <v>500</v>
      </c>
      <c r="K217" s="29"/>
      <c r="L217" s="29">
        <f>M217-K217</f>
        <v>26942.400000000001</v>
      </c>
      <c r="M217" s="29">
        <v>26942.400000000001</v>
      </c>
    </row>
    <row r="218" spans="1:13" ht="18" customHeight="1" x14ac:dyDescent="0.35">
      <c r="A218" s="16"/>
      <c r="B218" s="497"/>
      <c r="C218" s="28"/>
      <c r="D218" s="15"/>
      <c r="E218" s="15"/>
      <c r="F218" s="676"/>
      <c r="G218" s="677"/>
      <c r="H218" s="677"/>
      <c r="I218" s="678"/>
      <c r="J218" s="269"/>
      <c r="K218" s="29"/>
      <c r="L218" s="29"/>
      <c r="M218" s="29"/>
    </row>
    <row r="219" spans="1:13" ht="52.2" customHeight="1" x14ac:dyDescent="0.3">
      <c r="A219" s="115">
        <v>2</v>
      </c>
      <c r="B219" s="543" t="s">
        <v>2</v>
      </c>
      <c r="C219" s="23" t="s">
        <v>298</v>
      </c>
      <c r="D219" s="24"/>
      <c r="E219" s="24"/>
      <c r="F219" s="25"/>
      <c r="G219" s="26"/>
      <c r="H219" s="26"/>
      <c r="I219" s="27"/>
      <c r="J219" s="24"/>
      <c r="K219" s="37">
        <f>K220+K251+K244</f>
        <v>45259.299999999996</v>
      </c>
      <c r="L219" s="37">
        <f t="shared" ref="L219" si="66">L220+L251+L244</f>
        <v>2400</v>
      </c>
      <c r="M219" s="37">
        <f>M220+M251+M244</f>
        <v>47659.299999999996</v>
      </c>
    </row>
    <row r="220" spans="1:13" s="120" customFormat="1" ht="18" customHeight="1" x14ac:dyDescent="0.35">
      <c r="A220" s="16"/>
      <c r="B220" s="497" t="s">
        <v>35</v>
      </c>
      <c r="C220" s="28" t="s">
        <v>298</v>
      </c>
      <c r="D220" s="15" t="s">
        <v>36</v>
      </c>
      <c r="E220" s="15"/>
      <c r="F220" s="676"/>
      <c r="G220" s="677"/>
      <c r="H220" s="677"/>
      <c r="I220" s="678"/>
      <c r="J220" s="15"/>
      <c r="K220" s="29">
        <f>K221+K232</f>
        <v>36143.699999999997</v>
      </c>
      <c r="L220" s="29">
        <f t="shared" ref="L220" si="67">L221+L232</f>
        <v>0</v>
      </c>
      <c r="M220" s="29">
        <f>M221+M232</f>
        <v>36143.699999999997</v>
      </c>
    </row>
    <row r="221" spans="1:13" s="121" customFormat="1" ht="72" customHeight="1" x14ac:dyDescent="0.35">
      <c r="A221" s="16"/>
      <c r="B221" s="497" t="s">
        <v>127</v>
      </c>
      <c r="C221" s="28" t="s">
        <v>298</v>
      </c>
      <c r="D221" s="15" t="s">
        <v>36</v>
      </c>
      <c r="E221" s="15" t="s">
        <v>79</v>
      </c>
      <c r="F221" s="676"/>
      <c r="G221" s="677"/>
      <c r="H221" s="677"/>
      <c r="I221" s="678"/>
      <c r="J221" s="15"/>
      <c r="K221" s="29">
        <f t="shared" ref="K221:M222" si="68">K222</f>
        <v>32481.7</v>
      </c>
      <c r="L221" s="29">
        <f t="shared" si="68"/>
        <v>0</v>
      </c>
      <c r="M221" s="29">
        <f t="shared" si="68"/>
        <v>32481.7</v>
      </c>
    </row>
    <row r="222" spans="1:13" s="116" customFormat="1" ht="54" customHeight="1" x14ac:dyDescent="0.35">
      <c r="A222" s="16"/>
      <c r="B222" s="497" t="s">
        <v>219</v>
      </c>
      <c r="C222" s="28" t="s">
        <v>298</v>
      </c>
      <c r="D222" s="15" t="s">
        <v>36</v>
      </c>
      <c r="E222" s="15" t="s">
        <v>79</v>
      </c>
      <c r="F222" s="676" t="s">
        <v>220</v>
      </c>
      <c r="G222" s="677" t="s">
        <v>41</v>
      </c>
      <c r="H222" s="677" t="s">
        <v>42</v>
      </c>
      <c r="I222" s="678" t="s">
        <v>43</v>
      </c>
      <c r="J222" s="15"/>
      <c r="K222" s="29">
        <f t="shared" si="68"/>
        <v>32481.7</v>
      </c>
      <c r="L222" s="29">
        <f t="shared" si="68"/>
        <v>0</v>
      </c>
      <c r="M222" s="29">
        <f t="shared" si="68"/>
        <v>32481.7</v>
      </c>
    </row>
    <row r="223" spans="1:13" s="116" customFormat="1" ht="36" customHeight="1" x14ac:dyDescent="0.35">
      <c r="A223" s="16"/>
      <c r="B223" s="497" t="s">
        <v>335</v>
      </c>
      <c r="C223" s="28" t="s">
        <v>298</v>
      </c>
      <c r="D223" s="15" t="s">
        <v>36</v>
      </c>
      <c r="E223" s="15" t="s">
        <v>79</v>
      </c>
      <c r="F223" s="30" t="s">
        <v>220</v>
      </c>
      <c r="G223" s="31" t="s">
        <v>44</v>
      </c>
      <c r="H223" s="677" t="s">
        <v>42</v>
      </c>
      <c r="I223" s="678" t="s">
        <v>43</v>
      </c>
      <c r="J223" s="15"/>
      <c r="K223" s="29">
        <f>K224+K229</f>
        <v>32481.7</v>
      </c>
      <c r="L223" s="29">
        <f t="shared" ref="L223" si="69">L224+L229</f>
        <v>0</v>
      </c>
      <c r="M223" s="29">
        <f>M224+M229</f>
        <v>32481.7</v>
      </c>
    </row>
    <row r="224" spans="1:13" s="116" customFormat="1" ht="54" customHeight="1" x14ac:dyDescent="0.35">
      <c r="A224" s="16"/>
      <c r="B224" s="497" t="s">
        <v>299</v>
      </c>
      <c r="C224" s="28" t="s">
        <v>298</v>
      </c>
      <c r="D224" s="15" t="s">
        <v>36</v>
      </c>
      <c r="E224" s="15" t="s">
        <v>79</v>
      </c>
      <c r="F224" s="30" t="s">
        <v>220</v>
      </c>
      <c r="G224" s="31" t="s">
        <v>44</v>
      </c>
      <c r="H224" s="677" t="s">
        <v>36</v>
      </c>
      <c r="I224" s="678" t="s">
        <v>43</v>
      </c>
      <c r="J224" s="15"/>
      <c r="K224" s="29">
        <f>K225</f>
        <v>31446.600000000002</v>
      </c>
      <c r="L224" s="29">
        <f t="shared" ref="L224" si="70">L225</f>
        <v>0</v>
      </c>
      <c r="M224" s="29">
        <f>M225</f>
        <v>31446.600000000002</v>
      </c>
    </row>
    <row r="225" spans="1:13" s="116" customFormat="1" ht="36" customHeight="1" x14ac:dyDescent="0.35">
      <c r="A225" s="16"/>
      <c r="B225" s="497" t="s">
        <v>46</v>
      </c>
      <c r="C225" s="28" t="s">
        <v>298</v>
      </c>
      <c r="D225" s="15" t="s">
        <v>36</v>
      </c>
      <c r="E225" s="15" t="s">
        <v>79</v>
      </c>
      <c r="F225" s="30" t="s">
        <v>220</v>
      </c>
      <c r="G225" s="31" t="s">
        <v>44</v>
      </c>
      <c r="H225" s="677" t="s">
        <v>36</v>
      </c>
      <c r="I225" s="678" t="s">
        <v>47</v>
      </c>
      <c r="J225" s="15"/>
      <c r="K225" s="29">
        <f>SUM(K226:K228)</f>
        <v>31446.600000000002</v>
      </c>
      <c r="L225" s="29">
        <f t="shared" ref="L225" si="71">SUM(L226:L228)</f>
        <v>0</v>
      </c>
      <c r="M225" s="29">
        <f>SUM(M226:M228)</f>
        <v>31446.600000000002</v>
      </c>
    </row>
    <row r="226" spans="1:13" s="116" customFormat="1" ht="108" customHeight="1" x14ac:dyDescent="0.35">
      <c r="A226" s="16"/>
      <c r="B226" s="497" t="s">
        <v>48</v>
      </c>
      <c r="C226" s="28" t="s">
        <v>298</v>
      </c>
      <c r="D226" s="15" t="s">
        <v>36</v>
      </c>
      <c r="E226" s="15" t="s">
        <v>79</v>
      </c>
      <c r="F226" s="30" t="s">
        <v>220</v>
      </c>
      <c r="G226" s="31" t="s">
        <v>44</v>
      </c>
      <c r="H226" s="677" t="s">
        <v>36</v>
      </c>
      <c r="I226" s="678" t="s">
        <v>47</v>
      </c>
      <c r="J226" s="15" t="s">
        <v>49</v>
      </c>
      <c r="K226" s="29">
        <f>31734.4-1035.1+120.2+43.5</f>
        <v>30863.000000000004</v>
      </c>
      <c r="L226" s="29">
        <f>M226-K226</f>
        <v>0</v>
      </c>
      <c r="M226" s="29">
        <f>31734.4-1035.1+120.2+43.5</f>
        <v>30863.000000000004</v>
      </c>
    </row>
    <row r="227" spans="1:13" s="116" customFormat="1" ht="54" customHeight="1" x14ac:dyDescent="0.35">
      <c r="A227" s="16"/>
      <c r="B227" s="497" t="s">
        <v>53</v>
      </c>
      <c r="C227" s="28" t="s">
        <v>298</v>
      </c>
      <c r="D227" s="15" t="s">
        <v>36</v>
      </c>
      <c r="E227" s="15" t="s">
        <v>79</v>
      </c>
      <c r="F227" s="30" t="s">
        <v>220</v>
      </c>
      <c r="G227" s="31" t="s">
        <v>44</v>
      </c>
      <c r="H227" s="677" t="s">
        <v>36</v>
      </c>
      <c r="I227" s="678" t="s">
        <v>47</v>
      </c>
      <c r="J227" s="15" t="s">
        <v>54</v>
      </c>
      <c r="K227" s="29">
        <f>21.2+678-120.2</f>
        <v>579</v>
      </c>
      <c r="L227" s="29">
        <f>M227-K227</f>
        <v>0</v>
      </c>
      <c r="M227" s="29">
        <f>21.2+678-120.2</f>
        <v>579</v>
      </c>
    </row>
    <row r="228" spans="1:13" s="121" customFormat="1" ht="18" customHeight="1" x14ac:dyDescent="0.35">
      <c r="A228" s="16"/>
      <c r="B228" s="497" t="s">
        <v>55</v>
      </c>
      <c r="C228" s="28" t="s">
        <v>298</v>
      </c>
      <c r="D228" s="15" t="s">
        <v>36</v>
      </c>
      <c r="E228" s="15" t="s">
        <v>79</v>
      </c>
      <c r="F228" s="30" t="s">
        <v>220</v>
      </c>
      <c r="G228" s="31" t="s">
        <v>44</v>
      </c>
      <c r="H228" s="677" t="s">
        <v>36</v>
      </c>
      <c r="I228" s="678" t="s">
        <v>47</v>
      </c>
      <c r="J228" s="15" t="s">
        <v>56</v>
      </c>
      <c r="K228" s="29">
        <v>4.5999999999999996</v>
      </c>
      <c r="L228" s="29">
        <f>M228-K228</f>
        <v>0</v>
      </c>
      <c r="M228" s="29">
        <v>4.5999999999999996</v>
      </c>
    </row>
    <row r="229" spans="1:13" s="121" customFormat="1" ht="54" customHeight="1" x14ac:dyDescent="0.35">
      <c r="A229" s="16"/>
      <c r="B229" s="578" t="s">
        <v>552</v>
      </c>
      <c r="C229" s="28" t="s">
        <v>298</v>
      </c>
      <c r="D229" s="15" t="s">
        <v>36</v>
      </c>
      <c r="E229" s="15" t="s">
        <v>79</v>
      </c>
      <c r="F229" s="30" t="s">
        <v>220</v>
      </c>
      <c r="G229" s="31" t="s">
        <v>44</v>
      </c>
      <c r="H229" s="677" t="s">
        <v>50</v>
      </c>
      <c r="I229" s="678" t="s">
        <v>43</v>
      </c>
      <c r="J229" s="15"/>
      <c r="K229" s="29">
        <f t="shared" ref="K229:M230" si="72">K230</f>
        <v>1035.0999999999999</v>
      </c>
      <c r="L229" s="29">
        <f t="shared" si="72"/>
        <v>0</v>
      </c>
      <c r="M229" s="29">
        <f t="shared" si="72"/>
        <v>1035.0999999999999</v>
      </c>
    </row>
    <row r="230" spans="1:13" s="121" customFormat="1" ht="36" customHeight="1" x14ac:dyDescent="0.35">
      <c r="A230" s="16"/>
      <c r="B230" s="578" t="s">
        <v>551</v>
      </c>
      <c r="C230" s="28" t="s">
        <v>298</v>
      </c>
      <c r="D230" s="15" t="s">
        <v>36</v>
      </c>
      <c r="E230" s="15" t="s">
        <v>79</v>
      </c>
      <c r="F230" s="30" t="s">
        <v>220</v>
      </c>
      <c r="G230" s="31" t="s">
        <v>44</v>
      </c>
      <c r="H230" s="677" t="s">
        <v>50</v>
      </c>
      <c r="I230" s="678" t="s">
        <v>553</v>
      </c>
      <c r="J230" s="15"/>
      <c r="K230" s="29">
        <f t="shared" si="72"/>
        <v>1035.0999999999999</v>
      </c>
      <c r="L230" s="29">
        <f t="shared" si="72"/>
        <v>0</v>
      </c>
      <c r="M230" s="29">
        <f t="shared" si="72"/>
        <v>1035.0999999999999</v>
      </c>
    </row>
    <row r="231" spans="1:13" s="121" customFormat="1" ht="108" customHeight="1" x14ac:dyDescent="0.35">
      <c r="A231" s="16"/>
      <c r="B231" s="578" t="s">
        <v>48</v>
      </c>
      <c r="C231" s="28" t="s">
        <v>298</v>
      </c>
      <c r="D231" s="15" t="s">
        <v>36</v>
      </c>
      <c r="E231" s="15" t="s">
        <v>79</v>
      </c>
      <c r="F231" s="30" t="s">
        <v>220</v>
      </c>
      <c r="G231" s="31" t="s">
        <v>44</v>
      </c>
      <c r="H231" s="677" t="s">
        <v>50</v>
      </c>
      <c r="I231" s="678" t="s">
        <v>553</v>
      </c>
      <c r="J231" s="15" t="s">
        <v>49</v>
      </c>
      <c r="K231" s="29">
        <v>1035.0999999999999</v>
      </c>
      <c r="L231" s="29">
        <f>M231-K231</f>
        <v>0</v>
      </c>
      <c r="M231" s="29">
        <v>1035.0999999999999</v>
      </c>
    </row>
    <row r="232" spans="1:13" s="116" customFormat="1" ht="18" customHeight="1" x14ac:dyDescent="0.35">
      <c r="A232" s="16"/>
      <c r="B232" s="497" t="s">
        <v>68</v>
      </c>
      <c r="C232" s="28" t="s">
        <v>298</v>
      </c>
      <c r="D232" s="15" t="s">
        <v>36</v>
      </c>
      <c r="E232" s="15" t="s">
        <v>69</v>
      </c>
      <c r="F232" s="30"/>
      <c r="G232" s="31"/>
      <c r="H232" s="677"/>
      <c r="I232" s="678"/>
      <c r="J232" s="15"/>
      <c r="K232" s="29">
        <f t="shared" ref="K232:M239" si="73">K233</f>
        <v>3661.9999999999995</v>
      </c>
      <c r="L232" s="29">
        <f t="shared" si="73"/>
        <v>0</v>
      </c>
      <c r="M232" s="29">
        <f t="shared" si="73"/>
        <v>3661.9999999999995</v>
      </c>
    </row>
    <row r="233" spans="1:13" s="116" customFormat="1" ht="54" customHeight="1" x14ac:dyDescent="0.35">
      <c r="A233" s="16"/>
      <c r="B233" s="497" t="s">
        <v>219</v>
      </c>
      <c r="C233" s="28" t="s">
        <v>298</v>
      </c>
      <c r="D233" s="15" t="s">
        <v>36</v>
      </c>
      <c r="E233" s="15" t="s">
        <v>69</v>
      </c>
      <c r="F233" s="30" t="s">
        <v>220</v>
      </c>
      <c r="G233" s="31" t="s">
        <v>41</v>
      </c>
      <c r="H233" s="677" t="s">
        <v>42</v>
      </c>
      <c r="I233" s="678" t="s">
        <v>43</v>
      </c>
      <c r="J233" s="15"/>
      <c r="K233" s="29">
        <f t="shared" si="73"/>
        <v>3661.9999999999995</v>
      </c>
      <c r="L233" s="29">
        <f t="shared" si="73"/>
        <v>0</v>
      </c>
      <c r="M233" s="29">
        <f t="shared" si="73"/>
        <v>3661.9999999999995</v>
      </c>
    </row>
    <row r="234" spans="1:13" s="12" customFormat="1" ht="36" customHeight="1" x14ac:dyDescent="0.35">
      <c r="A234" s="16"/>
      <c r="B234" s="497" t="s">
        <v>335</v>
      </c>
      <c r="C234" s="28" t="s">
        <v>298</v>
      </c>
      <c r="D234" s="15" t="s">
        <v>36</v>
      </c>
      <c r="E234" s="15" t="s">
        <v>69</v>
      </c>
      <c r="F234" s="30" t="s">
        <v>220</v>
      </c>
      <c r="G234" s="31" t="s">
        <v>44</v>
      </c>
      <c r="H234" s="677" t="s">
        <v>42</v>
      </c>
      <c r="I234" s="678" t="s">
        <v>43</v>
      </c>
      <c r="J234" s="15"/>
      <c r="K234" s="29">
        <f>K235+K238+K241</f>
        <v>3661.9999999999995</v>
      </c>
      <c r="L234" s="29">
        <f t="shared" ref="L234" si="74">L235+L238+L241</f>
        <v>0</v>
      </c>
      <c r="M234" s="29">
        <f>M235+M238+M241</f>
        <v>3661.9999999999995</v>
      </c>
    </row>
    <row r="235" spans="1:13" s="12" customFormat="1" ht="54" x14ac:dyDescent="0.35">
      <c r="A235" s="16"/>
      <c r="B235" s="497" t="s">
        <v>299</v>
      </c>
      <c r="C235" s="28" t="s">
        <v>298</v>
      </c>
      <c r="D235" s="15" t="s">
        <v>36</v>
      </c>
      <c r="E235" s="15" t="s">
        <v>69</v>
      </c>
      <c r="F235" s="30" t="s">
        <v>220</v>
      </c>
      <c r="G235" s="31" t="s">
        <v>44</v>
      </c>
      <c r="H235" s="677" t="s">
        <v>36</v>
      </c>
      <c r="I235" s="678" t="s">
        <v>43</v>
      </c>
      <c r="J235" s="15"/>
      <c r="K235" s="29">
        <f>K236</f>
        <v>162.69999999999999</v>
      </c>
      <c r="L235" s="29">
        <f t="shared" ref="L235" si="75">L236</f>
        <v>0</v>
      </c>
      <c r="M235" s="29">
        <f>M236</f>
        <v>162.69999999999999</v>
      </c>
    </row>
    <row r="236" spans="1:13" s="12" customFormat="1" ht="60.6" customHeight="1" x14ac:dyDescent="0.35">
      <c r="A236" s="16"/>
      <c r="B236" s="497" t="s">
        <v>375</v>
      </c>
      <c r="C236" s="28" t="s">
        <v>298</v>
      </c>
      <c r="D236" s="15" t="s">
        <v>36</v>
      </c>
      <c r="E236" s="15" t="s">
        <v>69</v>
      </c>
      <c r="F236" s="30" t="s">
        <v>220</v>
      </c>
      <c r="G236" s="31" t="s">
        <v>44</v>
      </c>
      <c r="H236" s="677" t="s">
        <v>36</v>
      </c>
      <c r="I236" s="678" t="s">
        <v>374</v>
      </c>
      <c r="J236" s="15"/>
      <c r="K236" s="29">
        <f t="shared" si="73"/>
        <v>162.69999999999999</v>
      </c>
      <c r="L236" s="29">
        <f t="shared" si="73"/>
        <v>0</v>
      </c>
      <c r="M236" s="29">
        <f t="shared" si="73"/>
        <v>162.69999999999999</v>
      </c>
    </row>
    <row r="237" spans="1:13" s="12" customFormat="1" ht="36" customHeight="1" x14ac:dyDescent="0.35">
      <c r="A237" s="16"/>
      <c r="B237" s="497" t="s">
        <v>53</v>
      </c>
      <c r="C237" s="28" t="s">
        <v>298</v>
      </c>
      <c r="D237" s="15" t="s">
        <v>36</v>
      </c>
      <c r="E237" s="15" t="s">
        <v>69</v>
      </c>
      <c r="F237" s="30" t="s">
        <v>220</v>
      </c>
      <c r="G237" s="31" t="s">
        <v>44</v>
      </c>
      <c r="H237" s="677" t="s">
        <v>36</v>
      </c>
      <c r="I237" s="678" t="s">
        <v>374</v>
      </c>
      <c r="J237" s="15" t="s">
        <v>54</v>
      </c>
      <c r="K237" s="29">
        <v>162.69999999999999</v>
      </c>
      <c r="L237" s="29">
        <f>M237-K237</f>
        <v>0</v>
      </c>
      <c r="M237" s="29">
        <v>162.69999999999999</v>
      </c>
    </row>
    <row r="238" spans="1:13" s="116" customFormat="1" ht="36" customHeight="1" x14ac:dyDescent="0.35">
      <c r="A238" s="16"/>
      <c r="B238" s="497" t="s">
        <v>347</v>
      </c>
      <c r="C238" s="28" t="s">
        <v>298</v>
      </c>
      <c r="D238" s="15" t="s">
        <v>36</v>
      </c>
      <c r="E238" s="15" t="s">
        <v>69</v>
      </c>
      <c r="F238" s="30" t="s">
        <v>220</v>
      </c>
      <c r="G238" s="31" t="s">
        <v>44</v>
      </c>
      <c r="H238" s="677" t="s">
        <v>61</v>
      </c>
      <c r="I238" s="678" t="s">
        <v>43</v>
      </c>
      <c r="J238" s="15"/>
      <c r="K238" s="29">
        <f>K239</f>
        <v>3481.7</v>
      </c>
      <c r="L238" s="29">
        <f t="shared" ref="L238" si="76">L239</f>
        <v>0</v>
      </c>
      <c r="M238" s="29">
        <f>M239</f>
        <v>3481.7</v>
      </c>
    </row>
    <row r="239" spans="1:13" s="121" customFormat="1" ht="54" customHeight="1" x14ac:dyDescent="0.35">
      <c r="A239" s="16"/>
      <c r="B239" s="497" t="s">
        <v>348</v>
      </c>
      <c r="C239" s="28" t="s">
        <v>298</v>
      </c>
      <c r="D239" s="15" t="s">
        <v>36</v>
      </c>
      <c r="E239" s="15" t="s">
        <v>69</v>
      </c>
      <c r="F239" s="30" t="s">
        <v>220</v>
      </c>
      <c r="G239" s="31" t="s">
        <v>44</v>
      </c>
      <c r="H239" s="677" t="s">
        <v>61</v>
      </c>
      <c r="I239" s="678" t="s">
        <v>103</v>
      </c>
      <c r="J239" s="15"/>
      <c r="K239" s="29">
        <f t="shared" si="73"/>
        <v>3481.7</v>
      </c>
      <c r="L239" s="29">
        <f t="shared" si="73"/>
        <v>0</v>
      </c>
      <c r="M239" s="29">
        <f t="shared" si="73"/>
        <v>3481.7</v>
      </c>
    </row>
    <row r="240" spans="1:13" s="121" customFormat="1" ht="54" customHeight="1" x14ac:dyDescent="0.35">
      <c r="A240" s="16"/>
      <c r="B240" s="497" t="s">
        <v>53</v>
      </c>
      <c r="C240" s="28" t="s">
        <v>298</v>
      </c>
      <c r="D240" s="15" t="s">
        <v>36</v>
      </c>
      <c r="E240" s="15" t="s">
        <v>69</v>
      </c>
      <c r="F240" s="30" t="s">
        <v>220</v>
      </c>
      <c r="G240" s="31" t="s">
        <v>44</v>
      </c>
      <c r="H240" s="677" t="s">
        <v>61</v>
      </c>
      <c r="I240" s="678" t="s">
        <v>103</v>
      </c>
      <c r="J240" s="15" t="s">
        <v>54</v>
      </c>
      <c r="K240" s="29">
        <v>3481.7</v>
      </c>
      <c r="L240" s="29">
        <f>M240-K240</f>
        <v>0</v>
      </c>
      <c r="M240" s="29">
        <v>3481.7</v>
      </c>
    </row>
    <row r="241" spans="1:13" s="121" customFormat="1" ht="36" customHeight="1" x14ac:dyDescent="0.35">
      <c r="A241" s="16"/>
      <c r="B241" s="497" t="s">
        <v>458</v>
      </c>
      <c r="C241" s="28" t="s">
        <v>298</v>
      </c>
      <c r="D241" s="15" t="s">
        <v>36</v>
      </c>
      <c r="E241" s="15" t="s">
        <v>69</v>
      </c>
      <c r="F241" s="30" t="s">
        <v>220</v>
      </c>
      <c r="G241" s="31" t="s">
        <v>44</v>
      </c>
      <c r="H241" s="677" t="s">
        <v>63</v>
      </c>
      <c r="I241" s="678" t="s">
        <v>43</v>
      </c>
      <c r="J241" s="15"/>
      <c r="K241" s="29">
        <f t="shared" ref="K241:M242" si="77">K242</f>
        <v>17.600000000000001</v>
      </c>
      <c r="L241" s="29">
        <f t="shared" si="77"/>
        <v>0</v>
      </c>
      <c r="M241" s="29">
        <f t="shared" si="77"/>
        <v>17.600000000000001</v>
      </c>
    </row>
    <row r="242" spans="1:13" s="121" customFormat="1" ht="18" customHeight="1" x14ac:dyDescent="0.35">
      <c r="A242" s="16"/>
      <c r="B242" s="497" t="s">
        <v>456</v>
      </c>
      <c r="C242" s="28" t="s">
        <v>298</v>
      </c>
      <c r="D242" s="15" t="s">
        <v>36</v>
      </c>
      <c r="E242" s="15" t="s">
        <v>69</v>
      </c>
      <c r="F242" s="30" t="s">
        <v>220</v>
      </c>
      <c r="G242" s="31" t="s">
        <v>44</v>
      </c>
      <c r="H242" s="677" t="s">
        <v>63</v>
      </c>
      <c r="I242" s="678" t="s">
        <v>457</v>
      </c>
      <c r="J242" s="15"/>
      <c r="K242" s="29">
        <f t="shared" si="77"/>
        <v>17.600000000000001</v>
      </c>
      <c r="L242" s="29">
        <f t="shared" si="77"/>
        <v>0</v>
      </c>
      <c r="M242" s="29">
        <f t="shared" si="77"/>
        <v>17.600000000000001</v>
      </c>
    </row>
    <row r="243" spans="1:13" s="121" customFormat="1" ht="54" customHeight="1" x14ac:dyDescent="0.35">
      <c r="A243" s="16"/>
      <c r="B243" s="497" t="s">
        <v>53</v>
      </c>
      <c r="C243" s="28" t="s">
        <v>298</v>
      </c>
      <c r="D243" s="15" t="s">
        <v>36</v>
      </c>
      <c r="E243" s="15" t="s">
        <v>69</v>
      </c>
      <c r="F243" s="30" t="s">
        <v>220</v>
      </c>
      <c r="G243" s="31" t="s">
        <v>44</v>
      </c>
      <c r="H243" s="677" t="s">
        <v>63</v>
      </c>
      <c r="I243" s="678" t="s">
        <v>457</v>
      </c>
      <c r="J243" s="15" t="s">
        <v>54</v>
      </c>
      <c r="K243" s="29">
        <v>17.600000000000001</v>
      </c>
      <c r="L243" s="29">
        <f>M243-K243</f>
        <v>0</v>
      </c>
      <c r="M243" s="29">
        <v>17.600000000000001</v>
      </c>
    </row>
    <row r="244" spans="1:13" s="121" customFormat="1" ht="18" customHeight="1" x14ac:dyDescent="0.35">
      <c r="A244" s="16"/>
      <c r="B244" s="497" t="s">
        <v>176</v>
      </c>
      <c r="C244" s="28" t="s">
        <v>298</v>
      </c>
      <c r="D244" s="15" t="s">
        <v>220</v>
      </c>
      <c r="E244" s="15"/>
      <c r="F244" s="30"/>
      <c r="G244" s="31"/>
      <c r="H244" s="677"/>
      <c r="I244" s="678"/>
      <c r="J244" s="15"/>
      <c r="K244" s="29">
        <f t="shared" ref="K244:M249" si="78">K245</f>
        <v>115.6</v>
      </c>
      <c r="L244" s="29">
        <f t="shared" si="78"/>
        <v>0</v>
      </c>
      <c r="M244" s="29">
        <f t="shared" si="78"/>
        <v>115.6</v>
      </c>
    </row>
    <row r="245" spans="1:13" s="121" customFormat="1" ht="36" customHeight="1" x14ac:dyDescent="0.35">
      <c r="A245" s="16"/>
      <c r="B245" s="497" t="s">
        <v>494</v>
      </c>
      <c r="C245" s="28" t="s">
        <v>298</v>
      </c>
      <c r="D245" s="15" t="s">
        <v>220</v>
      </c>
      <c r="E245" s="15" t="s">
        <v>63</v>
      </c>
      <c r="F245" s="30"/>
      <c r="G245" s="31"/>
      <c r="H245" s="677"/>
      <c r="I245" s="678"/>
      <c r="J245" s="15"/>
      <c r="K245" s="29">
        <f t="shared" si="78"/>
        <v>115.6</v>
      </c>
      <c r="L245" s="29">
        <f t="shared" si="78"/>
        <v>0</v>
      </c>
      <c r="M245" s="29">
        <f t="shared" si="78"/>
        <v>115.6</v>
      </c>
    </row>
    <row r="246" spans="1:13" s="121" customFormat="1" ht="54" customHeight="1" x14ac:dyDescent="0.35">
      <c r="A246" s="16"/>
      <c r="B246" s="497" t="s">
        <v>219</v>
      </c>
      <c r="C246" s="28" t="s">
        <v>298</v>
      </c>
      <c r="D246" s="15" t="s">
        <v>220</v>
      </c>
      <c r="E246" s="15" t="s">
        <v>63</v>
      </c>
      <c r="F246" s="30" t="s">
        <v>220</v>
      </c>
      <c r="G246" s="31" t="s">
        <v>41</v>
      </c>
      <c r="H246" s="677" t="s">
        <v>42</v>
      </c>
      <c r="I246" s="678" t="s">
        <v>43</v>
      </c>
      <c r="J246" s="15"/>
      <c r="K246" s="29">
        <f t="shared" si="78"/>
        <v>115.6</v>
      </c>
      <c r="L246" s="29">
        <f t="shared" si="78"/>
        <v>0</v>
      </c>
      <c r="M246" s="29">
        <f t="shared" si="78"/>
        <v>115.6</v>
      </c>
    </row>
    <row r="247" spans="1:13" s="121" customFormat="1" ht="36" customHeight="1" x14ac:dyDescent="0.35">
      <c r="A247" s="16"/>
      <c r="B247" s="497" t="s">
        <v>335</v>
      </c>
      <c r="C247" s="28" t="s">
        <v>298</v>
      </c>
      <c r="D247" s="15" t="s">
        <v>220</v>
      </c>
      <c r="E247" s="15" t="s">
        <v>63</v>
      </c>
      <c r="F247" s="30" t="s">
        <v>220</v>
      </c>
      <c r="G247" s="31" t="s">
        <v>44</v>
      </c>
      <c r="H247" s="677" t="s">
        <v>42</v>
      </c>
      <c r="I247" s="678" t="s">
        <v>43</v>
      </c>
      <c r="J247" s="15"/>
      <c r="K247" s="29">
        <f t="shared" si="78"/>
        <v>115.6</v>
      </c>
      <c r="L247" s="29">
        <f t="shared" si="78"/>
        <v>0</v>
      </c>
      <c r="M247" s="29">
        <f t="shared" si="78"/>
        <v>115.6</v>
      </c>
    </row>
    <row r="248" spans="1:13" s="121" customFormat="1" ht="54" customHeight="1" x14ac:dyDescent="0.35">
      <c r="A248" s="16"/>
      <c r="B248" s="497" t="s">
        <v>299</v>
      </c>
      <c r="C248" s="28" t="s">
        <v>298</v>
      </c>
      <c r="D248" s="15" t="s">
        <v>220</v>
      </c>
      <c r="E248" s="15" t="s">
        <v>63</v>
      </c>
      <c r="F248" s="30" t="s">
        <v>220</v>
      </c>
      <c r="G248" s="31" t="s">
        <v>44</v>
      </c>
      <c r="H248" s="677" t="s">
        <v>36</v>
      </c>
      <c r="I248" s="678" t="s">
        <v>43</v>
      </c>
      <c r="J248" s="15"/>
      <c r="K248" s="29">
        <f t="shared" si="78"/>
        <v>115.6</v>
      </c>
      <c r="L248" s="29">
        <f t="shared" si="78"/>
        <v>0</v>
      </c>
      <c r="M248" s="29">
        <f t="shared" si="78"/>
        <v>115.6</v>
      </c>
    </row>
    <row r="249" spans="1:13" s="121" customFormat="1" ht="36" customHeight="1" x14ac:dyDescent="0.35">
      <c r="A249" s="16"/>
      <c r="B249" s="497" t="s">
        <v>496</v>
      </c>
      <c r="C249" s="28" t="s">
        <v>298</v>
      </c>
      <c r="D249" s="15" t="s">
        <v>220</v>
      </c>
      <c r="E249" s="15" t="s">
        <v>63</v>
      </c>
      <c r="F249" s="30" t="s">
        <v>220</v>
      </c>
      <c r="G249" s="31" t="s">
        <v>44</v>
      </c>
      <c r="H249" s="677" t="s">
        <v>36</v>
      </c>
      <c r="I249" s="678" t="s">
        <v>495</v>
      </c>
      <c r="J249" s="15"/>
      <c r="K249" s="29">
        <f t="shared" si="78"/>
        <v>115.6</v>
      </c>
      <c r="L249" s="29">
        <f t="shared" si="78"/>
        <v>0</v>
      </c>
      <c r="M249" s="29">
        <f t="shared" si="78"/>
        <v>115.6</v>
      </c>
    </row>
    <row r="250" spans="1:13" s="121" customFormat="1" ht="54" customHeight="1" x14ac:dyDescent="0.35">
      <c r="A250" s="16"/>
      <c r="B250" s="497" t="s">
        <v>53</v>
      </c>
      <c r="C250" s="28" t="s">
        <v>298</v>
      </c>
      <c r="D250" s="15" t="s">
        <v>220</v>
      </c>
      <c r="E250" s="15" t="s">
        <v>63</v>
      </c>
      <c r="F250" s="30" t="s">
        <v>220</v>
      </c>
      <c r="G250" s="31" t="s">
        <v>44</v>
      </c>
      <c r="H250" s="677" t="s">
        <v>36</v>
      </c>
      <c r="I250" s="678" t="s">
        <v>495</v>
      </c>
      <c r="J250" s="15" t="s">
        <v>54</v>
      </c>
      <c r="K250" s="29">
        <v>115.6</v>
      </c>
      <c r="L250" s="29">
        <f>M250-K250</f>
        <v>0</v>
      </c>
      <c r="M250" s="29">
        <v>115.6</v>
      </c>
    </row>
    <row r="251" spans="1:13" s="121" customFormat="1" ht="54" customHeight="1" x14ac:dyDescent="0.35">
      <c r="A251" s="16"/>
      <c r="B251" s="497" t="s">
        <v>197</v>
      </c>
      <c r="C251" s="28" t="s">
        <v>298</v>
      </c>
      <c r="D251" s="15" t="s">
        <v>86</v>
      </c>
      <c r="E251" s="15"/>
      <c r="F251" s="30"/>
      <c r="G251" s="31"/>
      <c r="H251" s="677"/>
      <c r="I251" s="678"/>
      <c r="J251" s="15"/>
      <c r="K251" s="29">
        <f>K252</f>
        <v>9000</v>
      </c>
      <c r="L251" s="29">
        <f>L252+L258</f>
        <v>2400</v>
      </c>
      <c r="M251" s="29">
        <f>M252+M258</f>
        <v>11400</v>
      </c>
    </row>
    <row r="252" spans="1:13" s="121" customFormat="1" ht="54" customHeight="1" x14ac:dyDescent="0.35">
      <c r="A252" s="16"/>
      <c r="B252" s="546" t="s">
        <v>198</v>
      </c>
      <c r="C252" s="28" t="s">
        <v>298</v>
      </c>
      <c r="D252" s="15" t="s">
        <v>86</v>
      </c>
      <c r="E252" s="15" t="s">
        <v>36</v>
      </c>
      <c r="F252" s="30"/>
      <c r="G252" s="31"/>
      <c r="H252" s="677"/>
      <c r="I252" s="678"/>
      <c r="J252" s="15"/>
      <c r="K252" s="29">
        <f t="shared" ref="K252:M255" si="79">K253</f>
        <v>9000</v>
      </c>
      <c r="L252" s="29">
        <f t="shared" si="79"/>
        <v>0</v>
      </c>
      <c r="M252" s="29">
        <f t="shared" si="79"/>
        <v>9000</v>
      </c>
    </row>
    <row r="253" spans="1:13" s="121" customFormat="1" ht="54" customHeight="1" x14ac:dyDescent="0.35">
      <c r="A253" s="16"/>
      <c r="B253" s="497" t="s">
        <v>219</v>
      </c>
      <c r="C253" s="28" t="s">
        <v>298</v>
      </c>
      <c r="D253" s="15" t="s">
        <v>86</v>
      </c>
      <c r="E253" s="15" t="s">
        <v>36</v>
      </c>
      <c r="F253" s="30" t="s">
        <v>220</v>
      </c>
      <c r="G253" s="31" t="s">
        <v>41</v>
      </c>
      <c r="H253" s="677" t="s">
        <v>42</v>
      </c>
      <c r="I253" s="678" t="s">
        <v>43</v>
      </c>
      <c r="J253" s="15"/>
      <c r="K253" s="29">
        <f t="shared" si="79"/>
        <v>9000</v>
      </c>
      <c r="L253" s="29">
        <f t="shared" si="79"/>
        <v>0</v>
      </c>
      <c r="M253" s="29">
        <f t="shared" si="79"/>
        <v>9000</v>
      </c>
    </row>
    <row r="254" spans="1:13" s="121" customFormat="1" ht="36" customHeight="1" x14ac:dyDescent="0.35">
      <c r="A254" s="16"/>
      <c r="B254" s="497" t="s">
        <v>335</v>
      </c>
      <c r="C254" s="28" t="s">
        <v>298</v>
      </c>
      <c r="D254" s="15" t="s">
        <v>86</v>
      </c>
      <c r="E254" s="15" t="s">
        <v>36</v>
      </c>
      <c r="F254" s="30" t="s">
        <v>220</v>
      </c>
      <c r="G254" s="31" t="s">
        <v>44</v>
      </c>
      <c r="H254" s="677" t="s">
        <v>42</v>
      </c>
      <c r="I254" s="678" t="s">
        <v>43</v>
      </c>
      <c r="J254" s="15"/>
      <c r="K254" s="29">
        <f t="shared" si="79"/>
        <v>9000</v>
      </c>
      <c r="L254" s="29">
        <f t="shared" si="79"/>
        <v>0</v>
      </c>
      <c r="M254" s="29">
        <f t="shared" si="79"/>
        <v>9000</v>
      </c>
    </row>
    <row r="255" spans="1:13" s="121" customFormat="1" ht="36" customHeight="1" x14ac:dyDescent="0.35">
      <c r="A255" s="16"/>
      <c r="B255" s="497" t="s">
        <v>300</v>
      </c>
      <c r="C255" s="28" t="s">
        <v>298</v>
      </c>
      <c r="D255" s="15" t="s">
        <v>86</v>
      </c>
      <c r="E255" s="15" t="s">
        <v>36</v>
      </c>
      <c r="F255" s="30" t="s">
        <v>220</v>
      </c>
      <c r="G255" s="31" t="s">
        <v>44</v>
      </c>
      <c r="H255" s="677" t="s">
        <v>38</v>
      </c>
      <c r="I255" s="678" t="s">
        <v>43</v>
      </c>
      <c r="J255" s="15"/>
      <c r="K255" s="29">
        <f>K256</f>
        <v>9000</v>
      </c>
      <c r="L255" s="29">
        <f t="shared" si="79"/>
        <v>0</v>
      </c>
      <c r="M255" s="29">
        <f>M256</f>
        <v>9000</v>
      </c>
    </row>
    <row r="256" spans="1:13" s="121" customFormat="1" ht="36" customHeight="1" x14ac:dyDescent="0.35">
      <c r="A256" s="16"/>
      <c r="B256" s="497" t="s">
        <v>254</v>
      </c>
      <c r="C256" s="28" t="s">
        <v>298</v>
      </c>
      <c r="D256" s="15" t="s">
        <v>86</v>
      </c>
      <c r="E256" s="15" t="s">
        <v>36</v>
      </c>
      <c r="F256" s="30" t="s">
        <v>220</v>
      </c>
      <c r="G256" s="31" t="s">
        <v>44</v>
      </c>
      <c r="H256" s="677" t="s">
        <v>38</v>
      </c>
      <c r="I256" s="678" t="s">
        <v>401</v>
      </c>
      <c r="J256" s="15"/>
      <c r="K256" s="29">
        <f t="shared" ref="K256:M256" si="80">K257</f>
        <v>9000</v>
      </c>
      <c r="L256" s="29">
        <f t="shared" si="80"/>
        <v>0</v>
      </c>
      <c r="M256" s="29">
        <f t="shared" si="80"/>
        <v>9000</v>
      </c>
    </row>
    <row r="257" spans="1:13" s="121" customFormat="1" ht="18" customHeight="1" x14ac:dyDescent="0.35">
      <c r="A257" s="16"/>
      <c r="B257" s="497" t="s">
        <v>121</v>
      </c>
      <c r="C257" s="28" t="s">
        <v>298</v>
      </c>
      <c r="D257" s="15" t="s">
        <v>86</v>
      </c>
      <c r="E257" s="15" t="s">
        <v>36</v>
      </c>
      <c r="F257" s="30" t="s">
        <v>220</v>
      </c>
      <c r="G257" s="31" t="s">
        <v>44</v>
      </c>
      <c r="H257" s="677" t="s">
        <v>38</v>
      </c>
      <c r="I257" s="678" t="s">
        <v>401</v>
      </c>
      <c r="J257" s="15" t="s">
        <v>122</v>
      </c>
      <c r="K257" s="29">
        <v>9000</v>
      </c>
      <c r="L257" s="29">
        <f>M257-K257</f>
        <v>0</v>
      </c>
      <c r="M257" s="29">
        <v>9000</v>
      </c>
    </row>
    <row r="258" spans="1:13" s="121" customFormat="1" ht="36" x14ac:dyDescent="0.35">
      <c r="A258" s="16"/>
      <c r="B258" s="578" t="s">
        <v>661</v>
      </c>
      <c r="C258" s="28" t="s">
        <v>298</v>
      </c>
      <c r="D258" s="15" t="s">
        <v>86</v>
      </c>
      <c r="E258" s="15" t="s">
        <v>61</v>
      </c>
      <c r="F258" s="30"/>
      <c r="G258" s="31"/>
      <c r="H258" s="677"/>
      <c r="I258" s="678"/>
      <c r="J258" s="15"/>
      <c r="K258" s="29"/>
      <c r="L258" s="29">
        <f t="shared" ref="L258:M262" si="81">L259</f>
        <v>2400</v>
      </c>
      <c r="M258" s="29">
        <f t="shared" si="81"/>
        <v>2400</v>
      </c>
    </row>
    <row r="259" spans="1:13" s="121" customFormat="1" ht="54" x14ac:dyDescent="0.35">
      <c r="A259" s="16"/>
      <c r="B259" s="578" t="s">
        <v>219</v>
      </c>
      <c r="C259" s="28" t="s">
        <v>298</v>
      </c>
      <c r="D259" s="15" t="s">
        <v>86</v>
      </c>
      <c r="E259" s="15" t="s">
        <v>61</v>
      </c>
      <c r="F259" s="30" t="s">
        <v>220</v>
      </c>
      <c r="G259" s="31" t="s">
        <v>41</v>
      </c>
      <c r="H259" s="677" t="s">
        <v>42</v>
      </c>
      <c r="I259" s="678" t="s">
        <v>43</v>
      </c>
      <c r="J259" s="15"/>
      <c r="K259" s="29"/>
      <c r="L259" s="29">
        <f t="shared" si="81"/>
        <v>2400</v>
      </c>
      <c r="M259" s="29">
        <f t="shared" si="81"/>
        <v>2400</v>
      </c>
    </row>
    <row r="260" spans="1:13" s="121" customFormat="1" ht="36" x14ac:dyDescent="0.35">
      <c r="A260" s="16"/>
      <c r="B260" s="578" t="s">
        <v>335</v>
      </c>
      <c r="C260" s="28" t="s">
        <v>298</v>
      </c>
      <c r="D260" s="15" t="s">
        <v>86</v>
      </c>
      <c r="E260" s="15" t="s">
        <v>61</v>
      </c>
      <c r="F260" s="30" t="s">
        <v>220</v>
      </c>
      <c r="G260" s="31" t="s">
        <v>44</v>
      </c>
      <c r="H260" s="677" t="s">
        <v>42</v>
      </c>
      <c r="I260" s="678" t="s">
        <v>43</v>
      </c>
      <c r="J260" s="15"/>
      <c r="K260" s="29"/>
      <c r="L260" s="29">
        <f t="shared" si="81"/>
        <v>2400</v>
      </c>
      <c r="M260" s="29">
        <f t="shared" si="81"/>
        <v>2400</v>
      </c>
    </row>
    <row r="261" spans="1:13" s="121" customFormat="1" ht="36" x14ac:dyDescent="0.35">
      <c r="A261" s="16"/>
      <c r="B261" s="578" t="s">
        <v>300</v>
      </c>
      <c r="C261" s="28" t="s">
        <v>298</v>
      </c>
      <c r="D261" s="15" t="s">
        <v>86</v>
      </c>
      <c r="E261" s="15" t="s">
        <v>61</v>
      </c>
      <c r="F261" s="30" t="s">
        <v>220</v>
      </c>
      <c r="G261" s="31" t="s">
        <v>44</v>
      </c>
      <c r="H261" s="677" t="s">
        <v>38</v>
      </c>
      <c r="I261" s="678" t="s">
        <v>43</v>
      </c>
      <c r="J261" s="15"/>
      <c r="K261" s="29"/>
      <c r="L261" s="29">
        <f t="shared" si="81"/>
        <v>2400</v>
      </c>
      <c r="M261" s="29">
        <f t="shared" si="81"/>
        <v>2400</v>
      </c>
    </row>
    <row r="262" spans="1:13" s="121" customFormat="1" ht="54" x14ac:dyDescent="0.35">
      <c r="A262" s="16"/>
      <c r="B262" s="578" t="s">
        <v>684</v>
      </c>
      <c r="C262" s="28" t="s">
        <v>298</v>
      </c>
      <c r="D262" s="15" t="s">
        <v>86</v>
      </c>
      <c r="E262" s="15" t="s">
        <v>61</v>
      </c>
      <c r="F262" s="30" t="s">
        <v>220</v>
      </c>
      <c r="G262" s="31" t="s">
        <v>44</v>
      </c>
      <c r="H262" s="677" t="s">
        <v>38</v>
      </c>
      <c r="I262" s="678" t="s">
        <v>685</v>
      </c>
      <c r="J262" s="15"/>
      <c r="K262" s="29"/>
      <c r="L262" s="29">
        <f t="shared" si="81"/>
        <v>2400</v>
      </c>
      <c r="M262" s="29">
        <f t="shared" si="81"/>
        <v>2400</v>
      </c>
    </row>
    <row r="263" spans="1:13" s="121" customFormat="1" ht="18" x14ac:dyDescent="0.35">
      <c r="A263" s="16"/>
      <c r="B263" s="578" t="s">
        <v>121</v>
      </c>
      <c r="C263" s="28" t="s">
        <v>298</v>
      </c>
      <c r="D263" s="15" t="s">
        <v>86</v>
      </c>
      <c r="E263" s="15" t="s">
        <v>61</v>
      </c>
      <c r="F263" s="30" t="s">
        <v>220</v>
      </c>
      <c r="G263" s="31" t="s">
        <v>44</v>
      </c>
      <c r="H263" s="677" t="s">
        <v>38</v>
      </c>
      <c r="I263" s="678" t="s">
        <v>685</v>
      </c>
      <c r="J263" s="15" t="s">
        <v>122</v>
      </c>
      <c r="K263" s="29"/>
      <c r="L263" s="29">
        <f>M263-K263</f>
        <v>2400</v>
      </c>
      <c r="M263" s="29">
        <v>2400</v>
      </c>
    </row>
    <row r="264" spans="1:13" s="121" customFormat="1" ht="18" customHeight="1" x14ac:dyDescent="0.35">
      <c r="A264" s="16"/>
      <c r="B264" s="497"/>
      <c r="C264" s="28"/>
      <c r="D264" s="15"/>
      <c r="E264" s="15"/>
      <c r="F264" s="30"/>
      <c r="G264" s="31"/>
      <c r="H264" s="677"/>
      <c r="I264" s="678"/>
      <c r="J264" s="15"/>
      <c r="K264" s="29"/>
      <c r="L264" s="29"/>
      <c r="M264" s="29"/>
    </row>
    <row r="265" spans="1:13" s="122" customFormat="1" ht="52.2" customHeight="1" x14ac:dyDescent="0.3">
      <c r="A265" s="115">
        <v>3</v>
      </c>
      <c r="B265" s="543" t="s">
        <v>34</v>
      </c>
      <c r="C265" s="23" t="s">
        <v>126</v>
      </c>
      <c r="D265" s="24"/>
      <c r="E265" s="24"/>
      <c r="F265" s="25"/>
      <c r="G265" s="26"/>
      <c r="H265" s="26"/>
      <c r="I265" s="27"/>
      <c r="J265" s="24"/>
      <c r="K265" s="37">
        <f>K266+K276</f>
        <v>7055.7999999999984</v>
      </c>
      <c r="L265" s="37">
        <f t="shared" ref="L265" si="82">L266+L276</f>
        <v>0</v>
      </c>
      <c r="M265" s="37">
        <f>M266+M276</f>
        <v>7055.7999999999984</v>
      </c>
    </row>
    <row r="266" spans="1:13" s="122" customFormat="1" ht="18" customHeight="1" x14ac:dyDescent="0.35">
      <c r="A266" s="16"/>
      <c r="B266" s="497" t="s">
        <v>35</v>
      </c>
      <c r="C266" s="28" t="s">
        <v>126</v>
      </c>
      <c r="D266" s="15" t="s">
        <v>36</v>
      </c>
      <c r="E266" s="15"/>
      <c r="F266" s="676"/>
      <c r="G266" s="677"/>
      <c r="H266" s="677"/>
      <c r="I266" s="678"/>
      <c r="J266" s="15"/>
      <c r="K266" s="29">
        <f t="shared" ref="K266:M268" si="83">K267</f>
        <v>7007.4999999999982</v>
      </c>
      <c r="L266" s="29">
        <f t="shared" si="83"/>
        <v>0</v>
      </c>
      <c r="M266" s="29">
        <f t="shared" si="83"/>
        <v>7007.4999999999982</v>
      </c>
    </row>
    <row r="267" spans="1:13" s="122" customFormat="1" ht="72" customHeight="1" x14ac:dyDescent="0.35">
      <c r="A267" s="16"/>
      <c r="B267" s="497" t="s">
        <v>127</v>
      </c>
      <c r="C267" s="28" t="s">
        <v>126</v>
      </c>
      <c r="D267" s="15" t="s">
        <v>36</v>
      </c>
      <c r="E267" s="15" t="s">
        <v>79</v>
      </c>
      <c r="F267" s="676"/>
      <c r="G267" s="677"/>
      <c r="H267" s="677"/>
      <c r="I267" s="678"/>
      <c r="J267" s="15"/>
      <c r="K267" s="29">
        <f t="shared" si="83"/>
        <v>7007.4999999999982</v>
      </c>
      <c r="L267" s="29">
        <f t="shared" si="83"/>
        <v>0</v>
      </c>
      <c r="M267" s="29">
        <f t="shared" si="83"/>
        <v>7007.4999999999982</v>
      </c>
    </row>
    <row r="268" spans="1:13" s="122" customFormat="1" ht="36" customHeight="1" x14ac:dyDescent="0.35">
      <c r="A268" s="16"/>
      <c r="B268" s="529" t="s">
        <v>128</v>
      </c>
      <c r="C268" s="28" t="s">
        <v>126</v>
      </c>
      <c r="D268" s="15" t="s">
        <v>36</v>
      </c>
      <c r="E268" s="15" t="s">
        <v>79</v>
      </c>
      <c r="F268" s="676" t="s">
        <v>129</v>
      </c>
      <c r="G268" s="677" t="s">
        <v>41</v>
      </c>
      <c r="H268" s="677" t="s">
        <v>42</v>
      </c>
      <c r="I268" s="678" t="s">
        <v>43</v>
      </c>
      <c r="J268" s="15"/>
      <c r="K268" s="29">
        <f t="shared" si="83"/>
        <v>7007.4999999999982</v>
      </c>
      <c r="L268" s="29">
        <f t="shared" si="83"/>
        <v>0</v>
      </c>
      <c r="M268" s="29">
        <f t="shared" si="83"/>
        <v>7007.4999999999982</v>
      </c>
    </row>
    <row r="269" spans="1:13" s="122" customFormat="1" ht="36" customHeight="1" x14ac:dyDescent="0.35">
      <c r="A269" s="16"/>
      <c r="B269" s="529" t="s">
        <v>130</v>
      </c>
      <c r="C269" s="28" t="s">
        <v>126</v>
      </c>
      <c r="D269" s="15" t="s">
        <v>36</v>
      </c>
      <c r="E269" s="15" t="s">
        <v>79</v>
      </c>
      <c r="F269" s="676" t="s">
        <v>129</v>
      </c>
      <c r="G269" s="677" t="s">
        <v>44</v>
      </c>
      <c r="H269" s="677" t="s">
        <v>42</v>
      </c>
      <c r="I269" s="678" t="s">
        <v>43</v>
      </c>
      <c r="J269" s="15"/>
      <c r="K269" s="29">
        <f>K270+K274</f>
        <v>7007.4999999999982</v>
      </c>
      <c r="L269" s="29">
        <f t="shared" ref="L269" si="84">L270+L274</f>
        <v>0</v>
      </c>
      <c r="M269" s="29">
        <f>M270+M274</f>
        <v>7007.4999999999982</v>
      </c>
    </row>
    <row r="270" spans="1:13" s="122" customFormat="1" ht="36" customHeight="1" x14ac:dyDescent="0.35">
      <c r="A270" s="16"/>
      <c r="B270" s="497" t="s">
        <v>46</v>
      </c>
      <c r="C270" s="28" t="s">
        <v>126</v>
      </c>
      <c r="D270" s="15" t="s">
        <v>36</v>
      </c>
      <c r="E270" s="15" t="s">
        <v>79</v>
      </c>
      <c r="F270" s="676" t="s">
        <v>129</v>
      </c>
      <c r="G270" s="677" t="s">
        <v>44</v>
      </c>
      <c r="H270" s="677" t="s">
        <v>42</v>
      </c>
      <c r="I270" s="678" t="s">
        <v>47</v>
      </c>
      <c r="J270" s="15"/>
      <c r="K270" s="29">
        <f>K271+K272+K273</f>
        <v>5840.3999999999987</v>
      </c>
      <c r="L270" s="29">
        <f t="shared" ref="L270" si="85">L271+L272+L273</f>
        <v>0</v>
      </c>
      <c r="M270" s="29">
        <f>M271+M272+M273</f>
        <v>5840.3999999999987</v>
      </c>
    </row>
    <row r="271" spans="1:13" s="122" customFormat="1" ht="108" customHeight="1" x14ac:dyDescent="0.35">
      <c r="A271" s="16"/>
      <c r="B271" s="529" t="s">
        <v>48</v>
      </c>
      <c r="C271" s="28" t="s">
        <v>126</v>
      </c>
      <c r="D271" s="15" t="s">
        <v>36</v>
      </c>
      <c r="E271" s="15" t="s">
        <v>79</v>
      </c>
      <c r="F271" s="676" t="s">
        <v>129</v>
      </c>
      <c r="G271" s="677" t="s">
        <v>44</v>
      </c>
      <c r="H271" s="677" t="s">
        <v>42</v>
      </c>
      <c r="I271" s="678" t="s">
        <v>47</v>
      </c>
      <c r="J271" s="15" t="s">
        <v>49</v>
      </c>
      <c r="K271" s="29">
        <f>5437.4+10.9+49.4</f>
        <v>5497.6999999999989</v>
      </c>
      <c r="L271" s="29">
        <f>M271-K271</f>
        <v>0</v>
      </c>
      <c r="M271" s="29">
        <f>5437.4+10.9+49.4</f>
        <v>5497.6999999999989</v>
      </c>
    </row>
    <row r="272" spans="1:13" s="122" customFormat="1" ht="54" customHeight="1" x14ac:dyDescent="0.35">
      <c r="A272" s="16"/>
      <c r="B272" s="497" t="s">
        <v>53</v>
      </c>
      <c r="C272" s="28" t="s">
        <v>126</v>
      </c>
      <c r="D272" s="15" t="s">
        <v>36</v>
      </c>
      <c r="E272" s="15" t="s">
        <v>79</v>
      </c>
      <c r="F272" s="676" t="s">
        <v>129</v>
      </c>
      <c r="G272" s="677" t="s">
        <v>44</v>
      </c>
      <c r="H272" s="677" t="s">
        <v>42</v>
      </c>
      <c r="I272" s="678" t="s">
        <v>47</v>
      </c>
      <c r="J272" s="15" t="s">
        <v>54</v>
      </c>
      <c r="K272" s="29">
        <f>270.8+40.4+12.5</f>
        <v>323.7</v>
      </c>
      <c r="L272" s="29">
        <f>M272-K272</f>
        <v>0</v>
      </c>
      <c r="M272" s="29">
        <f>270.8+40.4+12.5</f>
        <v>323.7</v>
      </c>
    </row>
    <row r="273" spans="1:13" s="122" customFormat="1" ht="18" customHeight="1" x14ac:dyDescent="0.35">
      <c r="A273" s="16"/>
      <c r="B273" s="497" t="s">
        <v>55</v>
      </c>
      <c r="C273" s="28" t="s">
        <v>126</v>
      </c>
      <c r="D273" s="15" t="s">
        <v>36</v>
      </c>
      <c r="E273" s="15" t="s">
        <v>79</v>
      </c>
      <c r="F273" s="676" t="s">
        <v>129</v>
      </c>
      <c r="G273" s="677" t="s">
        <v>44</v>
      </c>
      <c r="H273" s="677" t="s">
        <v>42</v>
      </c>
      <c r="I273" s="678" t="s">
        <v>47</v>
      </c>
      <c r="J273" s="15" t="s">
        <v>56</v>
      </c>
      <c r="K273" s="29">
        <v>19</v>
      </c>
      <c r="L273" s="29">
        <f>M273-K273</f>
        <v>0</v>
      </c>
      <c r="M273" s="29">
        <v>19</v>
      </c>
    </row>
    <row r="274" spans="1:13" s="122" customFormat="1" ht="36" customHeight="1" x14ac:dyDescent="0.35">
      <c r="A274" s="16"/>
      <c r="B274" s="497" t="s">
        <v>232</v>
      </c>
      <c r="C274" s="28" t="s">
        <v>126</v>
      </c>
      <c r="D274" s="15" t="s">
        <v>36</v>
      </c>
      <c r="E274" s="15" t="s">
        <v>79</v>
      </c>
      <c r="F274" s="676" t="s">
        <v>129</v>
      </c>
      <c r="G274" s="677" t="s">
        <v>44</v>
      </c>
      <c r="H274" s="677" t="s">
        <v>42</v>
      </c>
      <c r="I274" s="678" t="s">
        <v>131</v>
      </c>
      <c r="J274" s="15"/>
      <c r="K274" s="29">
        <f>K275</f>
        <v>1167.0999999999999</v>
      </c>
      <c r="L274" s="29">
        <f t="shared" ref="L274" si="86">L275</f>
        <v>0</v>
      </c>
      <c r="M274" s="29">
        <f>M275</f>
        <v>1167.0999999999999</v>
      </c>
    </row>
    <row r="275" spans="1:13" s="122" customFormat="1" ht="108" customHeight="1" x14ac:dyDescent="0.35">
      <c r="A275" s="16"/>
      <c r="B275" s="497" t="s">
        <v>48</v>
      </c>
      <c r="C275" s="28" t="s">
        <v>126</v>
      </c>
      <c r="D275" s="15" t="s">
        <v>36</v>
      </c>
      <c r="E275" s="15" t="s">
        <v>79</v>
      </c>
      <c r="F275" s="676" t="s">
        <v>129</v>
      </c>
      <c r="G275" s="677" t="s">
        <v>44</v>
      </c>
      <c r="H275" s="677" t="s">
        <v>42</v>
      </c>
      <c r="I275" s="678" t="s">
        <v>131</v>
      </c>
      <c r="J275" s="15" t="s">
        <v>49</v>
      </c>
      <c r="K275" s="29">
        <v>1167.0999999999999</v>
      </c>
      <c r="L275" s="29">
        <f>M275-K275</f>
        <v>0</v>
      </c>
      <c r="M275" s="29">
        <v>1167.0999999999999</v>
      </c>
    </row>
    <row r="276" spans="1:13" s="122" customFormat="1" ht="18" customHeight="1" x14ac:dyDescent="0.35">
      <c r="A276" s="16"/>
      <c r="B276" s="497" t="s">
        <v>176</v>
      </c>
      <c r="C276" s="28" t="s">
        <v>126</v>
      </c>
      <c r="D276" s="15" t="s">
        <v>220</v>
      </c>
      <c r="E276" s="15"/>
      <c r="F276" s="676"/>
      <c r="G276" s="677"/>
      <c r="H276" s="677"/>
      <c r="I276" s="678"/>
      <c r="J276" s="15"/>
      <c r="K276" s="29">
        <f t="shared" ref="K276:M280" si="87">K277</f>
        <v>48.3</v>
      </c>
      <c r="L276" s="29">
        <f t="shared" si="87"/>
        <v>0</v>
      </c>
      <c r="M276" s="29">
        <f t="shared" si="87"/>
        <v>48.3</v>
      </c>
    </row>
    <row r="277" spans="1:13" s="122" customFormat="1" ht="36" customHeight="1" x14ac:dyDescent="0.35">
      <c r="A277" s="16"/>
      <c r="B277" s="494" t="s">
        <v>494</v>
      </c>
      <c r="C277" s="28" t="s">
        <v>126</v>
      </c>
      <c r="D277" s="15" t="s">
        <v>220</v>
      </c>
      <c r="E277" s="15" t="s">
        <v>63</v>
      </c>
      <c r="F277" s="676"/>
      <c r="G277" s="677"/>
      <c r="H277" s="677"/>
      <c r="I277" s="678"/>
      <c r="J277" s="15"/>
      <c r="K277" s="29">
        <f t="shared" si="87"/>
        <v>48.3</v>
      </c>
      <c r="L277" s="29">
        <f t="shared" si="87"/>
        <v>0</v>
      </c>
      <c r="M277" s="29">
        <f t="shared" si="87"/>
        <v>48.3</v>
      </c>
    </row>
    <row r="278" spans="1:13" s="122" customFormat="1" ht="36" customHeight="1" x14ac:dyDescent="0.35">
      <c r="A278" s="16"/>
      <c r="B278" s="529" t="s">
        <v>128</v>
      </c>
      <c r="C278" s="28" t="s">
        <v>126</v>
      </c>
      <c r="D278" s="15" t="s">
        <v>220</v>
      </c>
      <c r="E278" s="15" t="s">
        <v>63</v>
      </c>
      <c r="F278" s="676" t="s">
        <v>129</v>
      </c>
      <c r="G278" s="677" t="s">
        <v>41</v>
      </c>
      <c r="H278" s="677" t="s">
        <v>42</v>
      </c>
      <c r="I278" s="88" t="s">
        <v>43</v>
      </c>
      <c r="J278" s="15"/>
      <c r="K278" s="29">
        <f t="shared" si="87"/>
        <v>48.3</v>
      </c>
      <c r="L278" s="29">
        <f t="shared" si="87"/>
        <v>0</v>
      </c>
      <c r="M278" s="29">
        <f t="shared" si="87"/>
        <v>48.3</v>
      </c>
    </row>
    <row r="279" spans="1:13" s="122" customFormat="1" ht="36" customHeight="1" x14ac:dyDescent="0.35">
      <c r="A279" s="16"/>
      <c r="B279" s="529" t="s">
        <v>130</v>
      </c>
      <c r="C279" s="28" t="s">
        <v>126</v>
      </c>
      <c r="D279" s="15" t="s">
        <v>220</v>
      </c>
      <c r="E279" s="15" t="s">
        <v>63</v>
      </c>
      <c r="F279" s="676" t="s">
        <v>129</v>
      </c>
      <c r="G279" s="677" t="s">
        <v>44</v>
      </c>
      <c r="H279" s="677" t="s">
        <v>42</v>
      </c>
      <c r="I279" s="88" t="s">
        <v>43</v>
      </c>
      <c r="J279" s="15"/>
      <c r="K279" s="29">
        <f t="shared" si="87"/>
        <v>48.3</v>
      </c>
      <c r="L279" s="29">
        <f t="shared" si="87"/>
        <v>0</v>
      </c>
      <c r="M279" s="29">
        <f t="shared" si="87"/>
        <v>48.3</v>
      </c>
    </row>
    <row r="280" spans="1:13" s="122" customFormat="1" ht="36" customHeight="1" x14ac:dyDescent="0.35">
      <c r="A280" s="16"/>
      <c r="B280" s="494" t="s">
        <v>496</v>
      </c>
      <c r="C280" s="28" t="s">
        <v>126</v>
      </c>
      <c r="D280" s="15" t="s">
        <v>220</v>
      </c>
      <c r="E280" s="15" t="s">
        <v>63</v>
      </c>
      <c r="F280" s="676" t="s">
        <v>129</v>
      </c>
      <c r="G280" s="677" t="s">
        <v>44</v>
      </c>
      <c r="H280" s="677" t="s">
        <v>42</v>
      </c>
      <c r="I280" s="677" t="s">
        <v>495</v>
      </c>
      <c r="J280" s="15"/>
      <c r="K280" s="29">
        <f t="shared" si="87"/>
        <v>48.3</v>
      </c>
      <c r="L280" s="29">
        <f t="shared" si="87"/>
        <v>0</v>
      </c>
      <c r="M280" s="29">
        <f t="shared" si="87"/>
        <v>48.3</v>
      </c>
    </row>
    <row r="281" spans="1:13" s="122" customFormat="1" ht="54" customHeight="1" x14ac:dyDescent="0.35">
      <c r="A281" s="16"/>
      <c r="B281" s="494" t="s">
        <v>53</v>
      </c>
      <c r="C281" s="28" t="s">
        <v>126</v>
      </c>
      <c r="D281" s="15" t="s">
        <v>220</v>
      </c>
      <c r="E281" s="15" t="s">
        <v>63</v>
      </c>
      <c r="F281" s="676" t="s">
        <v>129</v>
      </c>
      <c r="G281" s="677" t="s">
        <v>44</v>
      </c>
      <c r="H281" s="677" t="s">
        <v>42</v>
      </c>
      <c r="I281" s="677" t="s">
        <v>495</v>
      </c>
      <c r="J281" s="484" t="s">
        <v>54</v>
      </c>
      <c r="K281" s="29">
        <v>48.3</v>
      </c>
      <c r="L281" s="29">
        <f>M281-K281</f>
        <v>0</v>
      </c>
      <c r="M281" s="29">
        <v>48.3</v>
      </c>
    </row>
    <row r="282" spans="1:13" s="136" customFormat="1" ht="18" customHeight="1" x14ac:dyDescent="0.35">
      <c r="A282" s="214"/>
      <c r="B282" s="548"/>
      <c r="C282" s="480"/>
      <c r="D282" s="213"/>
      <c r="E282" s="213"/>
      <c r="F282" s="272"/>
      <c r="G282" s="272"/>
      <c r="H282" s="272"/>
      <c r="I282" s="272"/>
      <c r="J282" s="483"/>
      <c r="K282" s="256"/>
      <c r="L282" s="256"/>
      <c r="M282" s="256"/>
    </row>
    <row r="283" spans="1:13" s="130" customFormat="1" ht="52.2" customHeight="1" x14ac:dyDescent="0.3">
      <c r="A283" s="478">
        <v>4</v>
      </c>
      <c r="B283" s="549" t="s">
        <v>6</v>
      </c>
      <c r="C283" s="479" t="s">
        <v>408</v>
      </c>
      <c r="D283" s="481"/>
      <c r="E283" s="481"/>
      <c r="F283" s="126"/>
      <c r="G283" s="127"/>
      <c r="H283" s="127"/>
      <c r="I283" s="128"/>
      <c r="J283" s="481"/>
      <c r="K283" s="482">
        <f>K284+K339+K346+K328+K369+K378</f>
        <v>288207.21006999997</v>
      </c>
      <c r="L283" s="482">
        <f>L284+L339+L346+L328+L369+L378</f>
        <v>16176.099999999999</v>
      </c>
      <c r="M283" s="482">
        <f>M284+M339+M346+M328+M369+M378</f>
        <v>304383.31007000001</v>
      </c>
    </row>
    <row r="284" spans="1:13" s="136" customFormat="1" ht="18" customHeight="1" x14ac:dyDescent="0.35">
      <c r="A284" s="131"/>
      <c r="B284" s="540" t="s">
        <v>35</v>
      </c>
      <c r="C284" s="132" t="s">
        <v>408</v>
      </c>
      <c r="D284" s="133" t="s">
        <v>36</v>
      </c>
      <c r="E284" s="89"/>
      <c r="F284" s="134"/>
      <c r="G284" s="87"/>
      <c r="H284" s="87"/>
      <c r="I284" s="88"/>
      <c r="J284" s="89"/>
      <c r="K284" s="135">
        <f>K285</f>
        <v>36956.70532999999</v>
      </c>
      <c r="L284" s="135">
        <f t="shared" ref="L284" si="88">L285</f>
        <v>2110.35664</v>
      </c>
      <c r="M284" s="135">
        <f>M285</f>
        <v>39067.061969999995</v>
      </c>
    </row>
    <row r="285" spans="1:13" s="130" customFormat="1" ht="18" customHeight="1" x14ac:dyDescent="0.35">
      <c r="A285" s="131"/>
      <c r="B285" s="540" t="s">
        <v>68</v>
      </c>
      <c r="C285" s="132" t="s">
        <v>408</v>
      </c>
      <c r="D285" s="133" t="s">
        <v>36</v>
      </c>
      <c r="E285" s="133" t="s">
        <v>69</v>
      </c>
      <c r="F285" s="134"/>
      <c r="G285" s="87"/>
      <c r="H285" s="87"/>
      <c r="I285" s="88"/>
      <c r="J285" s="89"/>
      <c r="K285" s="135">
        <f>K286+K322+K317</f>
        <v>36956.70532999999</v>
      </c>
      <c r="L285" s="135">
        <f t="shared" ref="L285" si="89">L286+L322+L317</f>
        <v>2110.35664</v>
      </c>
      <c r="M285" s="135">
        <f>M286+M322+M317</f>
        <v>39067.061969999995</v>
      </c>
    </row>
    <row r="286" spans="1:13" s="136" customFormat="1" ht="54" customHeight="1" x14ac:dyDescent="0.35">
      <c r="A286" s="131"/>
      <c r="B286" s="540" t="s">
        <v>221</v>
      </c>
      <c r="C286" s="132" t="s">
        <v>408</v>
      </c>
      <c r="D286" s="133" t="s">
        <v>36</v>
      </c>
      <c r="E286" s="133" t="s">
        <v>69</v>
      </c>
      <c r="F286" s="97" t="s">
        <v>222</v>
      </c>
      <c r="G286" s="87" t="s">
        <v>41</v>
      </c>
      <c r="H286" s="87" t="s">
        <v>42</v>
      </c>
      <c r="I286" s="88" t="s">
        <v>43</v>
      </c>
      <c r="J286" s="89"/>
      <c r="K286" s="135">
        <f>K287+K294+K312</f>
        <v>31420.062999999995</v>
      </c>
      <c r="L286" s="135">
        <f t="shared" ref="L286" si="90">L287+L294+L312</f>
        <v>624.75999999999976</v>
      </c>
      <c r="M286" s="135">
        <f>M287+M294+M312</f>
        <v>32044.822999999997</v>
      </c>
    </row>
    <row r="287" spans="1:13" s="136" customFormat="1" ht="36" customHeight="1" x14ac:dyDescent="0.35">
      <c r="A287" s="131"/>
      <c r="B287" s="540" t="s">
        <v>223</v>
      </c>
      <c r="C287" s="132" t="s">
        <v>408</v>
      </c>
      <c r="D287" s="133" t="s">
        <v>36</v>
      </c>
      <c r="E287" s="133" t="s">
        <v>69</v>
      </c>
      <c r="F287" s="137" t="s">
        <v>222</v>
      </c>
      <c r="G287" s="138" t="s">
        <v>44</v>
      </c>
      <c r="H287" s="138" t="s">
        <v>42</v>
      </c>
      <c r="I287" s="139" t="s">
        <v>43</v>
      </c>
      <c r="J287" s="89"/>
      <c r="K287" s="135">
        <f>K288+K291</f>
        <v>5535.7860000000001</v>
      </c>
      <c r="L287" s="135">
        <f t="shared" ref="L287" si="91">L288+L291</f>
        <v>0</v>
      </c>
      <c r="M287" s="135">
        <f>M288+M291</f>
        <v>5535.7860000000001</v>
      </c>
    </row>
    <row r="288" spans="1:13" s="136" customFormat="1" ht="90" customHeight="1" x14ac:dyDescent="0.35">
      <c r="A288" s="131"/>
      <c r="B288" s="540" t="s">
        <v>293</v>
      </c>
      <c r="C288" s="132" t="s">
        <v>408</v>
      </c>
      <c r="D288" s="133" t="s">
        <v>36</v>
      </c>
      <c r="E288" s="133" t="s">
        <v>69</v>
      </c>
      <c r="F288" s="86" t="s">
        <v>222</v>
      </c>
      <c r="G288" s="87" t="s">
        <v>44</v>
      </c>
      <c r="H288" s="87" t="s">
        <v>36</v>
      </c>
      <c r="I288" s="88" t="s">
        <v>43</v>
      </c>
      <c r="J288" s="89"/>
      <c r="K288" s="135">
        <f t="shared" ref="K288:M289" si="92">K289</f>
        <v>800.7</v>
      </c>
      <c r="L288" s="135">
        <f t="shared" si="92"/>
        <v>0</v>
      </c>
      <c r="M288" s="135">
        <f t="shared" si="92"/>
        <v>800.7</v>
      </c>
    </row>
    <row r="289" spans="1:14" s="136" customFormat="1" ht="54" customHeight="1" x14ac:dyDescent="0.35">
      <c r="A289" s="131"/>
      <c r="B289" s="540" t="s">
        <v>224</v>
      </c>
      <c r="C289" s="132" t="s">
        <v>408</v>
      </c>
      <c r="D289" s="133" t="s">
        <v>36</v>
      </c>
      <c r="E289" s="133" t="s">
        <v>69</v>
      </c>
      <c r="F289" s="86" t="s">
        <v>222</v>
      </c>
      <c r="G289" s="87" t="s">
        <v>44</v>
      </c>
      <c r="H289" s="87" t="s">
        <v>36</v>
      </c>
      <c r="I289" s="88" t="s">
        <v>294</v>
      </c>
      <c r="J289" s="89"/>
      <c r="K289" s="135">
        <f t="shared" si="92"/>
        <v>800.7</v>
      </c>
      <c r="L289" s="135">
        <f t="shared" si="92"/>
        <v>0</v>
      </c>
      <c r="M289" s="135">
        <f t="shared" si="92"/>
        <v>800.7</v>
      </c>
    </row>
    <row r="290" spans="1:14" s="130" customFormat="1" ht="54" customHeight="1" x14ac:dyDescent="0.35">
      <c r="A290" s="131"/>
      <c r="B290" s="550" t="s">
        <v>53</v>
      </c>
      <c r="C290" s="132" t="s">
        <v>408</v>
      </c>
      <c r="D290" s="133" t="s">
        <v>36</v>
      </c>
      <c r="E290" s="133" t="s">
        <v>69</v>
      </c>
      <c r="F290" s="86" t="s">
        <v>222</v>
      </c>
      <c r="G290" s="87" t="s">
        <v>44</v>
      </c>
      <c r="H290" s="87" t="s">
        <v>36</v>
      </c>
      <c r="I290" s="88" t="s">
        <v>294</v>
      </c>
      <c r="J290" s="89" t="s">
        <v>54</v>
      </c>
      <c r="K290" s="135">
        <v>800.7</v>
      </c>
      <c r="L290" s="29">
        <f>M290-K290</f>
        <v>0</v>
      </c>
      <c r="M290" s="135">
        <v>800.7</v>
      </c>
    </row>
    <row r="291" spans="1:14" s="130" customFormat="1" ht="36" customHeight="1" x14ac:dyDescent="0.35">
      <c r="A291" s="131"/>
      <c r="B291" s="550" t="s">
        <v>334</v>
      </c>
      <c r="C291" s="132" t="s">
        <v>408</v>
      </c>
      <c r="D291" s="133" t="s">
        <v>36</v>
      </c>
      <c r="E291" s="133" t="s">
        <v>69</v>
      </c>
      <c r="F291" s="86" t="s">
        <v>222</v>
      </c>
      <c r="G291" s="87" t="s">
        <v>44</v>
      </c>
      <c r="H291" s="87" t="s">
        <v>38</v>
      </c>
      <c r="I291" s="88" t="s">
        <v>43</v>
      </c>
      <c r="J291" s="89"/>
      <c r="K291" s="135">
        <f>K292</f>
        <v>4735.0860000000002</v>
      </c>
      <c r="L291" s="135">
        <f t="shared" ref="L291" si="93">L292</f>
        <v>0</v>
      </c>
      <c r="M291" s="135">
        <f>M292</f>
        <v>4735.0860000000002</v>
      </c>
    </row>
    <row r="292" spans="1:14" s="130" customFormat="1" ht="36" customHeight="1" x14ac:dyDescent="0.35">
      <c r="A292" s="131"/>
      <c r="B292" s="550" t="s">
        <v>333</v>
      </c>
      <c r="C292" s="132" t="s">
        <v>408</v>
      </c>
      <c r="D292" s="133" t="s">
        <v>36</v>
      </c>
      <c r="E292" s="133" t="s">
        <v>69</v>
      </c>
      <c r="F292" s="86" t="s">
        <v>222</v>
      </c>
      <c r="G292" s="87" t="s">
        <v>44</v>
      </c>
      <c r="H292" s="87" t="s">
        <v>38</v>
      </c>
      <c r="I292" s="88" t="s">
        <v>332</v>
      </c>
      <c r="J292" s="89"/>
      <c r="K292" s="135">
        <f>SUM(K293:K293)</f>
        <v>4735.0860000000002</v>
      </c>
      <c r="L292" s="135">
        <f t="shared" ref="L292" si="94">SUM(L293:L293)</f>
        <v>0</v>
      </c>
      <c r="M292" s="135">
        <f>SUM(M293:M293)</f>
        <v>4735.0860000000002</v>
      </c>
    </row>
    <row r="293" spans="1:14" s="130" customFormat="1" ht="54" customHeight="1" x14ac:dyDescent="0.35">
      <c r="A293" s="131"/>
      <c r="B293" s="550" t="s">
        <v>53</v>
      </c>
      <c r="C293" s="132" t="s">
        <v>408</v>
      </c>
      <c r="D293" s="133" t="s">
        <v>36</v>
      </c>
      <c r="E293" s="133" t="s">
        <v>69</v>
      </c>
      <c r="F293" s="86" t="s">
        <v>222</v>
      </c>
      <c r="G293" s="87" t="s">
        <v>44</v>
      </c>
      <c r="H293" s="87" t="s">
        <v>38</v>
      </c>
      <c r="I293" s="88" t="s">
        <v>332</v>
      </c>
      <c r="J293" s="89" t="s">
        <v>54</v>
      </c>
      <c r="K293" s="135">
        <f>1239.2+239.15+8.418+1590+190.4+700+52.2+81.918+594.5+39.3</f>
        <v>4735.0860000000002</v>
      </c>
      <c r="L293" s="29">
        <f>M293-K293</f>
        <v>0</v>
      </c>
      <c r="M293" s="135">
        <f>1239.2+239.15+8.418+1590+190.4+700+52.2+81.918+594.5+39.3</f>
        <v>4735.0860000000002</v>
      </c>
    </row>
    <row r="294" spans="1:14" s="130" customFormat="1" ht="36" customHeight="1" x14ac:dyDescent="0.35">
      <c r="A294" s="131"/>
      <c r="B294" s="540" t="s">
        <v>225</v>
      </c>
      <c r="C294" s="132" t="s">
        <v>408</v>
      </c>
      <c r="D294" s="133" t="s">
        <v>36</v>
      </c>
      <c r="E294" s="133" t="s">
        <v>69</v>
      </c>
      <c r="F294" s="97" t="s">
        <v>222</v>
      </c>
      <c r="G294" s="87" t="s">
        <v>87</v>
      </c>
      <c r="H294" s="87" t="s">
        <v>42</v>
      </c>
      <c r="I294" s="88" t="s">
        <v>43</v>
      </c>
      <c r="J294" s="89"/>
      <c r="K294" s="135">
        <f>K295+K306+K309</f>
        <v>21438.569999999996</v>
      </c>
      <c r="L294" s="135">
        <f t="shared" ref="L294" si="95">L295+L306+L309</f>
        <v>359.26</v>
      </c>
      <c r="M294" s="135">
        <f>M295+M306+M309</f>
        <v>21797.829999999998</v>
      </c>
    </row>
    <row r="295" spans="1:14" s="136" customFormat="1" ht="78.75" customHeight="1" x14ac:dyDescent="0.35">
      <c r="A295" s="131"/>
      <c r="B295" s="540" t="s">
        <v>297</v>
      </c>
      <c r="C295" s="132" t="s">
        <v>408</v>
      </c>
      <c r="D295" s="133" t="s">
        <v>36</v>
      </c>
      <c r="E295" s="133" t="s">
        <v>69</v>
      </c>
      <c r="F295" s="97" t="s">
        <v>222</v>
      </c>
      <c r="G295" s="87" t="s">
        <v>87</v>
      </c>
      <c r="H295" s="87" t="s">
        <v>36</v>
      </c>
      <c r="I295" s="88" t="s">
        <v>43</v>
      </c>
      <c r="J295" s="89"/>
      <c r="K295" s="135">
        <f>K296+K300+K304</f>
        <v>20533.87</v>
      </c>
      <c r="L295" s="135">
        <f t="shared" ref="L295" si="96">L296+L300+L304</f>
        <v>304.96000000000004</v>
      </c>
      <c r="M295" s="135">
        <f>M296+M300+M304</f>
        <v>20838.829999999998</v>
      </c>
    </row>
    <row r="296" spans="1:14" s="130" customFormat="1" ht="36" customHeight="1" x14ac:dyDescent="0.35">
      <c r="A296" s="131"/>
      <c r="B296" s="540" t="s">
        <v>46</v>
      </c>
      <c r="C296" s="132" t="s">
        <v>408</v>
      </c>
      <c r="D296" s="133" t="s">
        <v>36</v>
      </c>
      <c r="E296" s="133" t="s">
        <v>69</v>
      </c>
      <c r="F296" s="140" t="s">
        <v>222</v>
      </c>
      <c r="G296" s="138" t="s">
        <v>87</v>
      </c>
      <c r="H296" s="138" t="s">
        <v>36</v>
      </c>
      <c r="I296" s="139" t="s">
        <v>47</v>
      </c>
      <c r="J296" s="89"/>
      <c r="K296" s="135">
        <f>K297+K298+K299</f>
        <v>10992.5</v>
      </c>
      <c r="L296" s="135">
        <f t="shared" ref="L296" si="97">L297+L298+L299</f>
        <v>0</v>
      </c>
      <c r="M296" s="135">
        <f>M297+M298+M299</f>
        <v>10992.5</v>
      </c>
    </row>
    <row r="297" spans="1:14" s="136" customFormat="1" ht="108" customHeight="1" x14ac:dyDescent="0.35">
      <c r="A297" s="131"/>
      <c r="B297" s="540" t="s">
        <v>48</v>
      </c>
      <c r="C297" s="132" t="s">
        <v>408</v>
      </c>
      <c r="D297" s="133" t="s">
        <v>36</v>
      </c>
      <c r="E297" s="133" t="s">
        <v>69</v>
      </c>
      <c r="F297" s="97" t="s">
        <v>222</v>
      </c>
      <c r="G297" s="87" t="s">
        <v>87</v>
      </c>
      <c r="H297" s="87" t="s">
        <v>36</v>
      </c>
      <c r="I297" s="88" t="s">
        <v>47</v>
      </c>
      <c r="J297" s="89" t="s">
        <v>49</v>
      </c>
      <c r="K297" s="135">
        <f>15923.4+171.5-5000-450</f>
        <v>10644.9</v>
      </c>
      <c r="L297" s="29">
        <f>M297-K297</f>
        <v>0</v>
      </c>
      <c r="M297" s="135">
        <f>15923.4+171.5-5000-450</f>
        <v>10644.9</v>
      </c>
    </row>
    <row r="298" spans="1:14" s="136" customFormat="1" ht="54" customHeight="1" x14ac:dyDescent="0.35">
      <c r="A298" s="131"/>
      <c r="B298" s="550" t="s">
        <v>53</v>
      </c>
      <c r="C298" s="132" t="s">
        <v>408</v>
      </c>
      <c r="D298" s="133" t="s">
        <v>36</v>
      </c>
      <c r="E298" s="133" t="s">
        <v>69</v>
      </c>
      <c r="F298" s="97" t="s">
        <v>222</v>
      </c>
      <c r="G298" s="87" t="s">
        <v>87</v>
      </c>
      <c r="H298" s="87" t="s">
        <v>36</v>
      </c>
      <c r="I298" s="88" t="s">
        <v>47</v>
      </c>
      <c r="J298" s="89" t="s">
        <v>54</v>
      </c>
      <c r="K298" s="135">
        <v>346.1</v>
      </c>
      <c r="L298" s="29">
        <f>M298-K298</f>
        <v>0</v>
      </c>
      <c r="M298" s="135">
        <v>346.1</v>
      </c>
      <c r="N298" s="164"/>
    </row>
    <row r="299" spans="1:14" s="136" customFormat="1" ht="18" customHeight="1" x14ac:dyDescent="0.35">
      <c r="A299" s="131"/>
      <c r="B299" s="540" t="s">
        <v>55</v>
      </c>
      <c r="C299" s="132" t="s">
        <v>408</v>
      </c>
      <c r="D299" s="133" t="s">
        <v>36</v>
      </c>
      <c r="E299" s="133" t="s">
        <v>69</v>
      </c>
      <c r="F299" s="97" t="s">
        <v>222</v>
      </c>
      <c r="G299" s="87" t="s">
        <v>87</v>
      </c>
      <c r="H299" s="87" t="s">
        <v>36</v>
      </c>
      <c r="I299" s="88" t="s">
        <v>47</v>
      </c>
      <c r="J299" s="89" t="s">
        <v>56</v>
      </c>
      <c r="K299" s="135">
        <v>1.5</v>
      </c>
      <c r="L299" s="29">
        <f>M299-K299</f>
        <v>0</v>
      </c>
      <c r="M299" s="135">
        <v>1.5</v>
      </c>
    </row>
    <row r="300" spans="1:14" s="136" customFormat="1" ht="36" customHeight="1" x14ac:dyDescent="0.35">
      <c r="A300" s="131"/>
      <c r="B300" s="529" t="s">
        <v>454</v>
      </c>
      <c r="C300" s="132" t="s">
        <v>408</v>
      </c>
      <c r="D300" s="133" t="s">
        <v>36</v>
      </c>
      <c r="E300" s="133" t="s">
        <v>69</v>
      </c>
      <c r="F300" s="97" t="s">
        <v>222</v>
      </c>
      <c r="G300" s="87" t="s">
        <v>87</v>
      </c>
      <c r="H300" s="87" t="s">
        <v>36</v>
      </c>
      <c r="I300" s="88" t="s">
        <v>89</v>
      </c>
      <c r="J300" s="89"/>
      <c r="K300" s="135">
        <f>K301+K302+K303</f>
        <v>9140.07</v>
      </c>
      <c r="L300" s="135">
        <f t="shared" ref="L300" si="98">L301+L302+L303</f>
        <v>304.96000000000004</v>
      </c>
      <c r="M300" s="135">
        <f>M301+M302+M303</f>
        <v>9445.0299999999988</v>
      </c>
      <c r="N300" s="164"/>
    </row>
    <row r="301" spans="1:14" s="136" customFormat="1" ht="108" customHeight="1" x14ac:dyDescent="0.35">
      <c r="A301" s="131"/>
      <c r="B301" s="540" t="s">
        <v>48</v>
      </c>
      <c r="C301" s="132" t="s">
        <v>408</v>
      </c>
      <c r="D301" s="133" t="s">
        <v>36</v>
      </c>
      <c r="E301" s="133" t="s">
        <v>69</v>
      </c>
      <c r="F301" s="97" t="s">
        <v>222</v>
      </c>
      <c r="G301" s="87" t="s">
        <v>87</v>
      </c>
      <c r="H301" s="87" t="s">
        <v>36</v>
      </c>
      <c r="I301" s="88" t="s">
        <v>89</v>
      </c>
      <c r="J301" s="89" t="s">
        <v>49</v>
      </c>
      <c r="K301" s="135">
        <f>9725+2926.4+7.1+24.5+57.6-4072.53-450</f>
        <v>8218.07</v>
      </c>
      <c r="L301" s="29">
        <f>M301-K301</f>
        <v>300</v>
      </c>
      <c r="M301" s="135">
        <f>9725+2926.4+7.1+24.5+57.6-4072.53-450+300</f>
        <v>8518.07</v>
      </c>
      <c r="N301" s="164"/>
    </row>
    <row r="302" spans="1:14" s="136" customFormat="1" ht="54" customHeight="1" x14ac:dyDescent="0.35">
      <c r="A302" s="131"/>
      <c r="B302" s="550" t="s">
        <v>53</v>
      </c>
      <c r="C302" s="132" t="s">
        <v>408</v>
      </c>
      <c r="D302" s="133" t="s">
        <v>36</v>
      </c>
      <c r="E302" s="133" t="s">
        <v>69</v>
      </c>
      <c r="F302" s="140" t="s">
        <v>222</v>
      </c>
      <c r="G302" s="138" t="s">
        <v>87</v>
      </c>
      <c r="H302" s="138" t="s">
        <v>36</v>
      </c>
      <c r="I302" s="139" t="s">
        <v>89</v>
      </c>
      <c r="J302" s="89" t="s">
        <v>54</v>
      </c>
      <c r="K302" s="135">
        <f>685.5+200.9+13.1</f>
        <v>899.5</v>
      </c>
      <c r="L302" s="29">
        <f>M302-K302</f>
        <v>4.9600000000000364</v>
      </c>
      <c r="M302" s="135">
        <f>685.5+200.9+13.1+4.96</f>
        <v>904.46</v>
      </c>
    </row>
    <row r="303" spans="1:14" s="136" customFormat="1" ht="18" customHeight="1" x14ac:dyDescent="0.35">
      <c r="A303" s="131"/>
      <c r="B303" s="540" t="s">
        <v>55</v>
      </c>
      <c r="C303" s="177" t="s">
        <v>408</v>
      </c>
      <c r="D303" s="271" t="s">
        <v>36</v>
      </c>
      <c r="E303" s="271" t="s">
        <v>69</v>
      </c>
      <c r="F303" s="97" t="s">
        <v>222</v>
      </c>
      <c r="G303" s="87" t="s">
        <v>87</v>
      </c>
      <c r="H303" s="87" t="s">
        <v>36</v>
      </c>
      <c r="I303" s="88" t="s">
        <v>89</v>
      </c>
      <c r="J303" s="89" t="s">
        <v>56</v>
      </c>
      <c r="K303" s="135">
        <v>22.5</v>
      </c>
      <c r="L303" s="29">
        <f>M303-K303</f>
        <v>0</v>
      </c>
      <c r="M303" s="135">
        <v>22.5</v>
      </c>
      <c r="N303" s="164"/>
    </row>
    <row r="304" spans="1:14" s="136" customFormat="1" ht="54" customHeight="1" x14ac:dyDescent="0.35">
      <c r="A304" s="131"/>
      <c r="B304" s="551" t="s">
        <v>350</v>
      </c>
      <c r="C304" s="321" t="s">
        <v>408</v>
      </c>
      <c r="D304" s="322" t="s">
        <v>36</v>
      </c>
      <c r="E304" s="322" t="s">
        <v>69</v>
      </c>
      <c r="F304" s="141" t="s">
        <v>222</v>
      </c>
      <c r="G304" s="87" t="s">
        <v>87</v>
      </c>
      <c r="H304" s="87" t="s">
        <v>36</v>
      </c>
      <c r="I304" s="88" t="s">
        <v>349</v>
      </c>
      <c r="J304" s="89"/>
      <c r="K304" s="135">
        <f>K305</f>
        <v>401.3</v>
      </c>
      <c r="L304" s="135">
        <f t="shared" ref="L304" si="99">L305</f>
        <v>0</v>
      </c>
      <c r="M304" s="135">
        <f>M305</f>
        <v>401.3</v>
      </c>
      <c r="N304" s="164"/>
    </row>
    <row r="305" spans="1:14" s="136" customFormat="1" ht="54" customHeight="1" x14ac:dyDescent="0.35">
      <c r="A305" s="131"/>
      <c r="B305" s="551" t="s">
        <v>53</v>
      </c>
      <c r="C305" s="321" t="s">
        <v>408</v>
      </c>
      <c r="D305" s="322" t="s">
        <v>36</v>
      </c>
      <c r="E305" s="322" t="s">
        <v>69</v>
      </c>
      <c r="F305" s="141" t="s">
        <v>222</v>
      </c>
      <c r="G305" s="87" t="s">
        <v>87</v>
      </c>
      <c r="H305" s="87" t="s">
        <v>36</v>
      </c>
      <c r="I305" s="270" t="s">
        <v>349</v>
      </c>
      <c r="J305" s="89" t="s">
        <v>54</v>
      </c>
      <c r="K305" s="135">
        <v>401.3</v>
      </c>
      <c r="L305" s="29">
        <f>M305-K305</f>
        <v>0</v>
      </c>
      <c r="M305" s="135">
        <v>401.3</v>
      </c>
      <c r="N305" s="164"/>
    </row>
    <row r="306" spans="1:14" s="171" customFormat="1" ht="36" customHeight="1" x14ac:dyDescent="0.35">
      <c r="A306" s="166"/>
      <c r="B306" s="552" t="s">
        <v>347</v>
      </c>
      <c r="C306" s="167" t="s">
        <v>408</v>
      </c>
      <c r="D306" s="168" t="s">
        <v>36</v>
      </c>
      <c r="E306" s="168" t="s">
        <v>69</v>
      </c>
      <c r="F306" s="97" t="s">
        <v>222</v>
      </c>
      <c r="G306" s="98" t="s">
        <v>87</v>
      </c>
      <c r="H306" s="98" t="s">
        <v>38</v>
      </c>
      <c r="I306" s="99" t="s">
        <v>43</v>
      </c>
      <c r="J306" s="100"/>
      <c r="K306" s="169">
        <f t="shared" ref="K306:M307" si="100">K307</f>
        <v>894.1</v>
      </c>
      <c r="L306" s="169">
        <f t="shared" si="100"/>
        <v>54.299999999999955</v>
      </c>
      <c r="M306" s="169">
        <f t="shared" si="100"/>
        <v>948.4</v>
      </c>
      <c r="N306" s="170"/>
    </row>
    <row r="307" spans="1:14" s="171" customFormat="1" ht="54" customHeight="1" x14ac:dyDescent="0.35">
      <c r="A307" s="172"/>
      <c r="B307" s="553" t="s">
        <v>348</v>
      </c>
      <c r="C307" s="132" t="s">
        <v>408</v>
      </c>
      <c r="D307" s="133" t="s">
        <v>36</v>
      </c>
      <c r="E307" s="133" t="s">
        <v>69</v>
      </c>
      <c r="F307" s="141" t="s">
        <v>222</v>
      </c>
      <c r="G307" s="98" t="s">
        <v>87</v>
      </c>
      <c r="H307" s="98" t="s">
        <v>38</v>
      </c>
      <c r="I307" s="99" t="s">
        <v>103</v>
      </c>
      <c r="J307" s="101"/>
      <c r="K307" s="173">
        <f t="shared" si="100"/>
        <v>894.1</v>
      </c>
      <c r="L307" s="173">
        <f t="shared" si="100"/>
        <v>54.299999999999955</v>
      </c>
      <c r="M307" s="173">
        <f t="shared" si="100"/>
        <v>948.4</v>
      </c>
      <c r="N307" s="170"/>
    </row>
    <row r="308" spans="1:14" s="171" customFormat="1" ht="54" customHeight="1" x14ac:dyDescent="0.35">
      <c r="A308" s="172"/>
      <c r="B308" s="554" t="s">
        <v>53</v>
      </c>
      <c r="C308" s="132" t="s">
        <v>408</v>
      </c>
      <c r="D308" s="133" t="s">
        <v>36</v>
      </c>
      <c r="E308" s="133" t="s">
        <v>69</v>
      </c>
      <c r="F308" s="141" t="s">
        <v>222</v>
      </c>
      <c r="G308" s="103" t="s">
        <v>87</v>
      </c>
      <c r="H308" s="103" t="s">
        <v>38</v>
      </c>
      <c r="I308" s="174" t="s">
        <v>103</v>
      </c>
      <c r="J308" s="175" t="s">
        <v>54</v>
      </c>
      <c r="K308" s="255">
        <f>852.1+42</f>
        <v>894.1</v>
      </c>
      <c r="L308" s="29">
        <f>M308-K308</f>
        <v>54.299999999999955</v>
      </c>
      <c r="M308" s="255">
        <f>852.1+42+54.3</f>
        <v>948.4</v>
      </c>
      <c r="N308" s="170"/>
    </row>
    <row r="309" spans="1:14" s="171" customFormat="1" ht="36" customHeight="1" x14ac:dyDescent="0.35">
      <c r="A309" s="172"/>
      <c r="B309" s="555" t="s">
        <v>370</v>
      </c>
      <c r="C309" s="132" t="s">
        <v>408</v>
      </c>
      <c r="D309" s="133" t="s">
        <v>36</v>
      </c>
      <c r="E309" s="133" t="s">
        <v>69</v>
      </c>
      <c r="F309" s="141" t="s">
        <v>222</v>
      </c>
      <c r="G309" s="98" t="s">
        <v>87</v>
      </c>
      <c r="H309" s="98" t="s">
        <v>61</v>
      </c>
      <c r="I309" s="99" t="s">
        <v>43</v>
      </c>
      <c r="J309" s="101"/>
      <c r="K309" s="173">
        <f t="shared" ref="K309:M310" si="101">K310</f>
        <v>10.6</v>
      </c>
      <c r="L309" s="173">
        <f t="shared" si="101"/>
        <v>0</v>
      </c>
      <c r="M309" s="173">
        <f t="shared" si="101"/>
        <v>10.6</v>
      </c>
      <c r="N309" s="170"/>
    </row>
    <row r="310" spans="1:14" s="171" customFormat="1" ht="36" customHeight="1" x14ac:dyDescent="0.35">
      <c r="A310" s="172"/>
      <c r="B310" s="555" t="s">
        <v>333</v>
      </c>
      <c r="C310" s="132" t="s">
        <v>408</v>
      </c>
      <c r="D310" s="133" t="s">
        <v>36</v>
      </c>
      <c r="E310" s="133" t="s">
        <v>69</v>
      </c>
      <c r="F310" s="102" t="s">
        <v>222</v>
      </c>
      <c r="G310" s="103" t="s">
        <v>87</v>
      </c>
      <c r="H310" s="103" t="s">
        <v>61</v>
      </c>
      <c r="I310" s="174" t="s">
        <v>332</v>
      </c>
      <c r="J310" s="101"/>
      <c r="K310" s="173">
        <f t="shared" si="101"/>
        <v>10.6</v>
      </c>
      <c r="L310" s="173">
        <f t="shared" si="101"/>
        <v>0</v>
      </c>
      <c r="M310" s="173">
        <f t="shared" si="101"/>
        <v>10.6</v>
      </c>
      <c r="N310" s="170"/>
    </row>
    <row r="311" spans="1:14" s="171" customFormat="1" ht="18" customHeight="1" x14ac:dyDescent="0.35">
      <c r="A311" s="176"/>
      <c r="B311" s="540" t="s">
        <v>55</v>
      </c>
      <c r="C311" s="177" t="s">
        <v>408</v>
      </c>
      <c r="D311" s="133" t="s">
        <v>36</v>
      </c>
      <c r="E311" s="133" t="s">
        <v>69</v>
      </c>
      <c r="F311" s="97" t="s">
        <v>222</v>
      </c>
      <c r="G311" s="98" t="s">
        <v>87</v>
      </c>
      <c r="H311" s="98" t="s">
        <v>61</v>
      </c>
      <c r="I311" s="99" t="s">
        <v>332</v>
      </c>
      <c r="J311" s="101" t="s">
        <v>56</v>
      </c>
      <c r="K311" s="255">
        <v>10.6</v>
      </c>
      <c r="L311" s="29">
        <f>M311-K311</f>
        <v>0</v>
      </c>
      <c r="M311" s="255">
        <v>10.6</v>
      </c>
      <c r="N311" s="170"/>
    </row>
    <row r="312" spans="1:14" s="171" customFormat="1" ht="36" customHeight="1" x14ac:dyDescent="0.35">
      <c r="A312" s="176"/>
      <c r="B312" s="556" t="s">
        <v>335</v>
      </c>
      <c r="C312" s="177" t="s">
        <v>408</v>
      </c>
      <c r="D312" s="133" t="s">
        <v>36</v>
      </c>
      <c r="E312" s="133" t="s">
        <v>69</v>
      </c>
      <c r="F312" s="97" t="s">
        <v>222</v>
      </c>
      <c r="G312" s="98" t="s">
        <v>29</v>
      </c>
      <c r="H312" s="98" t="s">
        <v>42</v>
      </c>
      <c r="I312" s="99" t="s">
        <v>43</v>
      </c>
      <c r="J312" s="101"/>
      <c r="K312" s="424">
        <f>K313</f>
        <v>4445.7069999999994</v>
      </c>
      <c r="L312" s="424">
        <f t="shared" ref="K312:M313" si="102">L313</f>
        <v>265.49999999999983</v>
      </c>
      <c r="M312" s="424">
        <f>M313</f>
        <v>4711.2069999999994</v>
      </c>
      <c r="N312" s="170"/>
    </row>
    <row r="313" spans="1:14" s="171" customFormat="1" ht="36" customHeight="1" x14ac:dyDescent="0.35">
      <c r="A313" s="456"/>
      <c r="B313" s="557" t="s">
        <v>370</v>
      </c>
      <c r="C313" s="448" t="s">
        <v>408</v>
      </c>
      <c r="D313" s="457" t="s">
        <v>36</v>
      </c>
      <c r="E313" s="457" t="s">
        <v>69</v>
      </c>
      <c r="F313" s="458" t="s">
        <v>222</v>
      </c>
      <c r="G313" s="459" t="s">
        <v>29</v>
      </c>
      <c r="H313" s="459" t="s">
        <v>222</v>
      </c>
      <c r="I313" s="460" t="s">
        <v>43</v>
      </c>
      <c r="J313" s="461"/>
      <c r="K313" s="424">
        <f t="shared" si="102"/>
        <v>4445.7069999999994</v>
      </c>
      <c r="L313" s="424">
        <f t="shared" si="102"/>
        <v>265.49999999999983</v>
      </c>
      <c r="M313" s="424">
        <f t="shared" si="102"/>
        <v>4711.2069999999994</v>
      </c>
      <c r="N313" s="170"/>
    </row>
    <row r="314" spans="1:14" s="171" customFormat="1" ht="36" customHeight="1" x14ac:dyDescent="0.35">
      <c r="A314" s="600"/>
      <c r="B314" s="548" t="s">
        <v>333</v>
      </c>
      <c r="C314" s="321" t="s">
        <v>408</v>
      </c>
      <c r="D314" s="631" t="s">
        <v>36</v>
      </c>
      <c r="E314" s="450" t="s">
        <v>69</v>
      </c>
      <c r="F314" s="451" t="s">
        <v>222</v>
      </c>
      <c r="G314" s="452" t="s">
        <v>29</v>
      </c>
      <c r="H314" s="452" t="s">
        <v>222</v>
      </c>
      <c r="I314" s="453" t="s">
        <v>332</v>
      </c>
      <c r="J314" s="454"/>
      <c r="K314" s="455">
        <f>K315+K316</f>
        <v>4445.7069999999994</v>
      </c>
      <c r="L314" s="455">
        <f>L315+L316</f>
        <v>265.49999999999983</v>
      </c>
      <c r="M314" s="455">
        <f>M315+M316</f>
        <v>4711.2069999999994</v>
      </c>
      <c r="N314" s="170"/>
    </row>
    <row r="315" spans="1:14" s="171" customFormat="1" ht="36" customHeight="1" x14ac:dyDescent="0.35">
      <c r="A315" s="600"/>
      <c r="B315" s="554" t="s">
        <v>53</v>
      </c>
      <c r="C315" s="321" t="s">
        <v>408</v>
      </c>
      <c r="D315" s="631" t="s">
        <v>36</v>
      </c>
      <c r="E315" s="450" t="s">
        <v>69</v>
      </c>
      <c r="F315" s="451" t="s">
        <v>222</v>
      </c>
      <c r="G315" s="452" t="s">
        <v>29</v>
      </c>
      <c r="H315" s="452" t="s">
        <v>222</v>
      </c>
      <c r="I315" s="453" t="s">
        <v>332</v>
      </c>
      <c r="J315" s="454" t="s">
        <v>54</v>
      </c>
      <c r="K315" s="455">
        <f>388.5+414.3+337.7+300+2324.307+200+400</f>
        <v>4364.8069999999998</v>
      </c>
      <c r="L315" s="29">
        <f>M315-K315</f>
        <v>222.69999999999982</v>
      </c>
      <c r="M315" s="455">
        <f>388.5+414.3+337.7+300+2324.307+200+400-10+96+136.7</f>
        <v>4587.5069999999996</v>
      </c>
      <c r="N315" s="170"/>
    </row>
    <row r="316" spans="1:14" s="171" customFormat="1" ht="18" customHeight="1" x14ac:dyDescent="0.35">
      <c r="A316" s="579"/>
      <c r="B316" s="548" t="s">
        <v>55</v>
      </c>
      <c r="C316" s="321" t="s">
        <v>408</v>
      </c>
      <c r="D316" s="601" t="s">
        <v>36</v>
      </c>
      <c r="E316" s="133" t="s">
        <v>69</v>
      </c>
      <c r="F316" s="97" t="s">
        <v>222</v>
      </c>
      <c r="G316" s="98" t="s">
        <v>29</v>
      </c>
      <c r="H316" s="98" t="s">
        <v>222</v>
      </c>
      <c r="I316" s="99" t="s">
        <v>332</v>
      </c>
      <c r="J316" s="434" t="s">
        <v>56</v>
      </c>
      <c r="K316" s="424">
        <v>80.900000000000006</v>
      </c>
      <c r="L316" s="29">
        <f>M316-K316</f>
        <v>42.8</v>
      </c>
      <c r="M316" s="424">
        <f>80.9+42.8</f>
        <v>123.7</v>
      </c>
      <c r="N316" s="170"/>
    </row>
    <row r="317" spans="1:14" s="171" customFormat="1" ht="54" customHeight="1" x14ac:dyDescent="0.35">
      <c r="A317" s="449"/>
      <c r="B317" s="602" t="s">
        <v>226</v>
      </c>
      <c r="C317" s="603" t="s">
        <v>408</v>
      </c>
      <c r="D317" s="133" t="s">
        <v>36</v>
      </c>
      <c r="E317" s="133" t="s">
        <v>69</v>
      </c>
      <c r="F317" s="104" t="s">
        <v>77</v>
      </c>
      <c r="G317" s="105" t="s">
        <v>41</v>
      </c>
      <c r="H317" s="105" t="s">
        <v>42</v>
      </c>
      <c r="I317" s="106" t="s">
        <v>43</v>
      </c>
      <c r="J317" s="107"/>
      <c r="K317" s="424">
        <f t="shared" ref="K317:M320" si="103">K318</f>
        <v>59.82526</v>
      </c>
      <c r="L317" s="424">
        <f t="shared" si="103"/>
        <v>13.596639999999994</v>
      </c>
      <c r="M317" s="424">
        <f t="shared" si="103"/>
        <v>73.421899999999994</v>
      </c>
      <c r="N317" s="170"/>
    </row>
    <row r="318" spans="1:14" s="171" customFormat="1" ht="36" customHeight="1" x14ac:dyDescent="0.35">
      <c r="A318" s="176"/>
      <c r="B318" s="550" t="s">
        <v>335</v>
      </c>
      <c r="C318" s="143" t="s">
        <v>408</v>
      </c>
      <c r="D318" s="133" t="s">
        <v>36</v>
      </c>
      <c r="E318" s="133" t="s">
        <v>69</v>
      </c>
      <c r="F318" s="104" t="s">
        <v>77</v>
      </c>
      <c r="G318" s="105" t="s">
        <v>44</v>
      </c>
      <c r="H318" s="105" t="s">
        <v>42</v>
      </c>
      <c r="I318" s="106" t="s">
        <v>43</v>
      </c>
      <c r="J318" s="107"/>
      <c r="K318" s="424">
        <f t="shared" si="103"/>
        <v>59.82526</v>
      </c>
      <c r="L318" s="424">
        <f t="shared" si="103"/>
        <v>13.596639999999994</v>
      </c>
      <c r="M318" s="424">
        <f t="shared" si="103"/>
        <v>73.421899999999994</v>
      </c>
      <c r="N318" s="170"/>
    </row>
    <row r="319" spans="1:14" s="171" customFormat="1" ht="90" customHeight="1" x14ac:dyDescent="0.35">
      <c r="A319" s="176"/>
      <c r="B319" s="550" t="s">
        <v>296</v>
      </c>
      <c r="C319" s="143" t="s">
        <v>408</v>
      </c>
      <c r="D319" s="133" t="s">
        <v>36</v>
      </c>
      <c r="E319" s="133" t="s">
        <v>69</v>
      </c>
      <c r="F319" s="104" t="s">
        <v>77</v>
      </c>
      <c r="G319" s="105" t="s">
        <v>44</v>
      </c>
      <c r="H319" s="105" t="s">
        <v>38</v>
      </c>
      <c r="I319" s="106" t="s">
        <v>43</v>
      </c>
      <c r="J319" s="107"/>
      <c r="K319" s="424">
        <f t="shared" si="103"/>
        <v>59.82526</v>
      </c>
      <c r="L319" s="424">
        <f t="shared" si="103"/>
        <v>13.596639999999994</v>
      </c>
      <c r="M319" s="424">
        <f t="shared" si="103"/>
        <v>73.421899999999994</v>
      </c>
      <c r="N319" s="170"/>
    </row>
    <row r="320" spans="1:14" s="171" customFormat="1" ht="108" customHeight="1" x14ac:dyDescent="0.35">
      <c r="A320" s="176"/>
      <c r="B320" s="540" t="s">
        <v>690</v>
      </c>
      <c r="C320" s="132" t="s">
        <v>408</v>
      </c>
      <c r="D320" s="133" t="s">
        <v>36</v>
      </c>
      <c r="E320" s="133" t="s">
        <v>69</v>
      </c>
      <c r="F320" s="86" t="s">
        <v>77</v>
      </c>
      <c r="G320" s="87" t="s">
        <v>44</v>
      </c>
      <c r="H320" s="87" t="s">
        <v>38</v>
      </c>
      <c r="I320" s="108" t="s">
        <v>601</v>
      </c>
      <c r="J320" s="89"/>
      <c r="K320" s="424">
        <f t="shared" si="103"/>
        <v>59.82526</v>
      </c>
      <c r="L320" s="424">
        <f t="shared" si="103"/>
        <v>13.596639999999994</v>
      </c>
      <c r="M320" s="424">
        <f t="shared" si="103"/>
        <v>73.421899999999994</v>
      </c>
      <c r="N320" s="170"/>
    </row>
    <row r="321" spans="1:14" s="171" customFormat="1" ht="54" customHeight="1" x14ac:dyDescent="0.35">
      <c r="A321" s="176"/>
      <c r="B321" s="550" t="s">
        <v>53</v>
      </c>
      <c r="C321" s="132" t="s">
        <v>408</v>
      </c>
      <c r="D321" s="133" t="s">
        <v>36</v>
      </c>
      <c r="E321" s="133" t="s">
        <v>69</v>
      </c>
      <c r="F321" s="86" t="s">
        <v>77</v>
      </c>
      <c r="G321" s="87" t="s">
        <v>44</v>
      </c>
      <c r="H321" s="87" t="s">
        <v>38</v>
      </c>
      <c r="I321" s="108" t="s">
        <v>601</v>
      </c>
      <c r="J321" s="434" t="s">
        <v>54</v>
      </c>
      <c r="K321" s="424">
        <v>59.82526</v>
      </c>
      <c r="L321" s="29">
        <f>M321-K321</f>
        <v>13.596639999999994</v>
      </c>
      <c r="M321" s="424">
        <f>59.82526+13.59664</f>
        <v>73.421899999999994</v>
      </c>
      <c r="N321" s="170"/>
    </row>
    <row r="322" spans="1:14" s="136" customFormat="1" ht="54" customHeight="1" x14ac:dyDescent="0.35">
      <c r="A322" s="131"/>
      <c r="B322" s="556" t="s">
        <v>39</v>
      </c>
      <c r="C322" s="132" t="s">
        <v>408</v>
      </c>
      <c r="D322" s="133" t="s">
        <v>36</v>
      </c>
      <c r="E322" s="133" t="s">
        <v>69</v>
      </c>
      <c r="F322" s="141" t="s">
        <v>40</v>
      </c>
      <c r="G322" s="87" t="s">
        <v>41</v>
      </c>
      <c r="H322" s="87" t="s">
        <v>42</v>
      </c>
      <c r="I322" s="88" t="s">
        <v>43</v>
      </c>
      <c r="J322" s="89"/>
      <c r="K322" s="262">
        <f t="shared" ref="K322:M324" si="104">K323</f>
        <v>5476.8170699999991</v>
      </c>
      <c r="L322" s="262">
        <f t="shared" si="104"/>
        <v>1472</v>
      </c>
      <c r="M322" s="262">
        <f t="shared" si="104"/>
        <v>6948.8170699999991</v>
      </c>
      <c r="N322" s="164"/>
    </row>
    <row r="323" spans="1:14" s="136" customFormat="1" ht="36" customHeight="1" x14ac:dyDescent="0.35">
      <c r="A323" s="131"/>
      <c r="B323" s="550" t="s">
        <v>335</v>
      </c>
      <c r="C323" s="132" t="s">
        <v>408</v>
      </c>
      <c r="D323" s="133" t="s">
        <v>36</v>
      </c>
      <c r="E323" s="133" t="s">
        <v>69</v>
      </c>
      <c r="F323" s="97" t="s">
        <v>40</v>
      </c>
      <c r="G323" s="87" t="s">
        <v>44</v>
      </c>
      <c r="H323" s="87" t="s">
        <v>42</v>
      </c>
      <c r="I323" s="88" t="s">
        <v>43</v>
      </c>
      <c r="J323" s="89"/>
      <c r="K323" s="135">
        <f t="shared" si="104"/>
        <v>5476.8170699999991</v>
      </c>
      <c r="L323" s="135">
        <f t="shared" si="104"/>
        <v>1472</v>
      </c>
      <c r="M323" s="135">
        <f t="shared" si="104"/>
        <v>6948.8170699999991</v>
      </c>
      <c r="N323" s="164"/>
    </row>
    <row r="324" spans="1:14" s="136" customFormat="1" ht="72" customHeight="1" x14ac:dyDescent="0.35">
      <c r="A324" s="131"/>
      <c r="B324" s="540" t="s">
        <v>295</v>
      </c>
      <c r="C324" s="132" t="s">
        <v>408</v>
      </c>
      <c r="D324" s="133" t="s">
        <v>36</v>
      </c>
      <c r="E324" s="133" t="s">
        <v>69</v>
      </c>
      <c r="F324" s="97" t="s">
        <v>40</v>
      </c>
      <c r="G324" s="87" t="s">
        <v>44</v>
      </c>
      <c r="H324" s="87" t="s">
        <v>79</v>
      </c>
      <c r="I324" s="88" t="s">
        <v>43</v>
      </c>
      <c r="J324" s="89"/>
      <c r="K324" s="135">
        <f t="shared" si="104"/>
        <v>5476.8170699999991</v>
      </c>
      <c r="L324" s="135">
        <f t="shared" si="104"/>
        <v>1472</v>
      </c>
      <c r="M324" s="135">
        <f t="shared" si="104"/>
        <v>6948.8170699999991</v>
      </c>
      <c r="N324" s="164"/>
    </row>
    <row r="325" spans="1:14" s="136" customFormat="1" ht="36" customHeight="1" x14ac:dyDescent="0.35">
      <c r="A325" s="131"/>
      <c r="B325" s="529" t="s">
        <v>454</v>
      </c>
      <c r="C325" s="132" t="s">
        <v>408</v>
      </c>
      <c r="D325" s="133" t="s">
        <v>36</v>
      </c>
      <c r="E325" s="133" t="s">
        <v>69</v>
      </c>
      <c r="F325" s="97" t="s">
        <v>40</v>
      </c>
      <c r="G325" s="87" t="s">
        <v>44</v>
      </c>
      <c r="H325" s="87" t="s">
        <v>79</v>
      </c>
      <c r="I325" s="88" t="s">
        <v>89</v>
      </c>
      <c r="J325" s="89"/>
      <c r="K325" s="273">
        <f>K326+K327</f>
        <v>5476.8170699999991</v>
      </c>
      <c r="L325" s="273">
        <f t="shared" ref="L325" si="105">L326+L327</f>
        <v>1472</v>
      </c>
      <c r="M325" s="273">
        <f>M326+M327</f>
        <v>6948.8170699999991</v>
      </c>
      <c r="N325" s="164"/>
    </row>
    <row r="326" spans="1:14" s="136" customFormat="1" ht="108" customHeight="1" x14ac:dyDescent="0.35">
      <c r="A326" s="131"/>
      <c r="B326" s="540" t="s">
        <v>48</v>
      </c>
      <c r="C326" s="132" t="s">
        <v>408</v>
      </c>
      <c r="D326" s="133" t="s">
        <v>36</v>
      </c>
      <c r="E326" s="133" t="s">
        <v>69</v>
      </c>
      <c r="F326" s="97" t="s">
        <v>40</v>
      </c>
      <c r="G326" s="87" t="s">
        <v>44</v>
      </c>
      <c r="H326" s="87" t="s">
        <v>79</v>
      </c>
      <c r="I326" s="88" t="s">
        <v>89</v>
      </c>
      <c r="J326" s="89" t="s">
        <v>49</v>
      </c>
      <c r="K326" s="256">
        <f>5957.9+14.2-1000</f>
        <v>4972.0999999999995</v>
      </c>
      <c r="L326" s="29">
        <f>M326-K326</f>
        <v>1472</v>
      </c>
      <c r="M326" s="256">
        <f>5957.9+14.2-1000+472+1000</f>
        <v>6444.0999999999995</v>
      </c>
      <c r="N326" s="164"/>
    </row>
    <row r="327" spans="1:14" s="136" customFormat="1" ht="54" customHeight="1" x14ac:dyDescent="0.35">
      <c r="A327" s="131"/>
      <c r="B327" s="550" t="s">
        <v>53</v>
      </c>
      <c r="C327" s="132" t="s">
        <v>408</v>
      </c>
      <c r="D327" s="133" t="s">
        <v>36</v>
      </c>
      <c r="E327" s="133" t="s">
        <v>69</v>
      </c>
      <c r="F327" s="97" t="s">
        <v>40</v>
      </c>
      <c r="G327" s="87" t="s">
        <v>44</v>
      </c>
      <c r="H327" s="87" t="s">
        <v>79</v>
      </c>
      <c r="I327" s="88" t="s">
        <v>89</v>
      </c>
      <c r="J327" s="89" t="s">
        <v>54</v>
      </c>
      <c r="K327" s="256">
        <f>502.7+2.01707</f>
        <v>504.71706999999998</v>
      </c>
      <c r="L327" s="29">
        <f>M327-K327</f>
        <v>0</v>
      </c>
      <c r="M327" s="256">
        <f>502.7+2.01707</f>
        <v>504.71706999999998</v>
      </c>
      <c r="N327" s="164"/>
    </row>
    <row r="328" spans="1:14" s="136" customFormat="1" ht="18" customHeight="1" x14ac:dyDescent="0.35">
      <c r="A328" s="131"/>
      <c r="B328" s="550" t="s">
        <v>90</v>
      </c>
      <c r="C328" s="132" t="s">
        <v>408</v>
      </c>
      <c r="D328" s="133" t="s">
        <v>50</v>
      </c>
      <c r="E328" s="133"/>
      <c r="F328" s="97"/>
      <c r="G328" s="87"/>
      <c r="H328" s="87"/>
      <c r="I328" s="88"/>
      <c r="J328" s="89"/>
      <c r="K328" s="262">
        <f t="shared" ref="K328:M333" si="106">K329</f>
        <v>803</v>
      </c>
      <c r="L328" s="262">
        <f t="shared" si="106"/>
        <v>0</v>
      </c>
      <c r="M328" s="262">
        <f t="shared" si="106"/>
        <v>803</v>
      </c>
      <c r="N328" s="164"/>
    </row>
    <row r="329" spans="1:14" s="136" customFormat="1" ht="36" customHeight="1" x14ac:dyDescent="0.35">
      <c r="A329" s="131"/>
      <c r="B329" s="559" t="s">
        <v>104</v>
      </c>
      <c r="C329" s="132" t="s">
        <v>408</v>
      </c>
      <c r="D329" s="133" t="s">
        <v>50</v>
      </c>
      <c r="E329" s="133" t="s">
        <v>98</v>
      </c>
      <c r="F329" s="97"/>
      <c r="G329" s="87"/>
      <c r="H329" s="87"/>
      <c r="I329" s="88"/>
      <c r="J329" s="89"/>
      <c r="K329" s="135">
        <f t="shared" si="106"/>
        <v>803</v>
      </c>
      <c r="L329" s="135">
        <f t="shared" si="106"/>
        <v>0</v>
      </c>
      <c r="M329" s="135">
        <f t="shared" si="106"/>
        <v>803</v>
      </c>
      <c r="N329" s="164"/>
    </row>
    <row r="330" spans="1:14" s="136" customFormat="1" ht="54" customHeight="1" x14ac:dyDescent="0.35">
      <c r="A330" s="131"/>
      <c r="B330" s="540" t="s">
        <v>221</v>
      </c>
      <c r="C330" s="132" t="s">
        <v>408</v>
      </c>
      <c r="D330" s="133" t="s">
        <v>50</v>
      </c>
      <c r="E330" s="133" t="s">
        <v>98</v>
      </c>
      <c r="F330" s="97" t="s">
        <v>222</v>
      </c>
      <c r="G330" s="87" t="s">
        <v>41</v>
      </c>
      <c r="H330" s="87" t="s">
        <v>42</v>
      </c>
      <c r="I330" s="88" t="s">
        <v>43</v>
      </c>
      <c r="J330" s="89"/>
      <c r="K330" s="135">
        <f>K331+K335</f>
        <v>803</v>
      </c>
      <c r="L330" s="135">
        <f>L331+L335</f>
        <v>0</v>
      </c>
      <c r="M330" s="135">
        <f>M331+M335</f>
        <v>803</v>
      </c>
      <c r="N330" s="164"/>
    </row>
    <row r="331" spans="1:14" s="136" customFormat="1" ht="36" customHeight="1" x14ac:dyDescent="0.35">
      <c r="A331" s="131"/>
      <c r="B331" s="540" t="s">
        <v>223</v>
      </c>
      <c r="C331" s="132" t="s">
        <v>408</v>
      </c>
      <c r="D331" s="133" t="s">
        <v>50</v>
      </c>
      <c r="E331" s="133" t="s">
        <v>98</v>
      </c>
      <c r="F331" s="97" t="s">
        <v>222</v>
      </c>
      <c r="G331" s="87" t="s">
        <v>44</v>
      </c>
      <c r="H331" s="87" t="s">
        <v>42</v>
      </c>
      <c r="I331" s="88" t="s">
        <v>43</v>
      </c>
      <c r="J331" s="89"/>
      <c r="K331" s="135">
        <f t="shared" si="106"/>
        <v>791.8</v>
      </c>
      <c r="L331" s="135">
        <f t="shared" si="106"/>
        <v>0</v>
      </c>
      <c r="M331" s="135">
        <f t="shared" si="106"/>
        <v>791.8</v>
      </c>
      <c r="N331" s="164"/>
    </row>
    <row r="332" spans="1:14" s="136" customFormat="1" ht="90" customHeight="1" x14ac:dyDescent="0.35">
      <c r="A332" s="131"/>
      <c r="B332" s="540" t="s">
        <v>293</v>
      </c>
      <c r="C332" s="132" t="s">
        <v>408</v>
      </c>
      <c r="D332" s="133" t="s">
        <v>50</v>
      </c>
      <c r="E332" s="133" t="s">
        <v>98</v>
      </c>
      <c r="F332" s="97" t="s">
        <v>222</v>
      </c>
      <c r="G332" s="87" t="s">
        <v>44</v>
      </c>
      <c r="H332" s="87" t="s">
        <v>36</v>
      </c>
      <c r="I332" s="88" t="s">
        <v>43</v>
      </c>
      <c r="J332" s="89"/>
      <c r="K332" s="135">
        <f t="shared" si="106"/>
        <v>791.8</v>
      </c>
      <c r="L332" s="135">
        <f t="shared" si="106"/>
        <v>0</v>
      </c>
      <c r="M332" s="135">
        <f t="shared" si="106"/>
        <v>791.8</v>
      </c>
      <c r="N332" s="164"/>
    </row>
    <row r="333" spans="1:14" s="136" customFormat="1" ht="36" customHeight="1" x14ac:dyDescent="0.35">
      <c r="A333" s="131"/>
      <c r="B333" s="503" t="s">
        <v>368</v>
      </c>
      <c r="C333" s="132" t="s">
        <v>408</v>
      </c>
      <c r="D333" s="133" t="s">
        <v>50</v>
      </c>
      <c r="E333" s="133" t="s">
        <v>98</v>
      </c>
      <c r="F333" s="97" t="s">
        <v>222</v>
      </c>
      <c r="G333" s="87" t="s">
        <v>44</v>
      </c>
      <c r="H333" s="87" t="s">
        <v>36</v>
      </c>
      <c r="I333" s="88" t="s">
        <v>367</v>
      </c>
      <c r="J333" s="474"/>
      <c r="K333" s="135">
        <f t="shared" si="106"/>
        <v>791.8</v>
      </c>
      <c r="L333" s="135">
        <f t="shared" si="106"/>
        <v>0</v>
      </c>
      <c r="M333" s="135">
        <f t="shared" si="106"/>
        <v>791.8</v>
      </c>
      <c r="N333" s="164"/>
    </row>
    <row r="334" spans="1:14" s="136" customFormat="1" ht="54" customHeight="1" x14ac:dyDescent="0.35">
      <c r="A334" s="605"/>
      <c r="B334" s="599" t="s">
        <v>53</v>
      </c>
      <c r="C334" s="615" t="s">
        <v>408</v>
      </c>
      <c r="D334" s="133" t="s">
        <v>50</v>
      </c>
      <c r="E334" s="133" t="s">
        <v>98</v>
      </c>
      <c r="F334" s="97" t="s">
        <v>222</v>
      </c>
      <c r="G334" s="87" t="s">
        <v>44</v>
      </c>
      <c r="H334" s="87" t="s">
        <v>36</v>
      </c>
      <c r="I334" s="87" t="s">
        <v>367</v>
      </c>
      <c r="J334" s="610" t="s">
        <v>54</v>
      </c>
      <c r="K334" s="268">
        <f>1191.8-400</f>
        <v>791.8</v>
      </c>
      <c r="L334" s="29">
        <f>M334-K334</f>
        <v>0</v>
      </c>
      <c r="M334" s="268">
        <f>1191.8-400</f>
        <v>791.8</v>
      </c>
      <c r="N334" s="164"/>
    </row>
    <row r="335" spans="1:14" s="136" customFormat="1" ht="36" x14ac:dyDescent="0.35">
      <c r="A335" s="605"/>
      <c r="B335" s="548" t="s">
        <v>335</v>
      </c>
      <c r="C335" s="647" t="s">
        <v>408</v>
      </c>
      <c r="D335" s="133" t="s">
        <v>50</v>
      </c>
      <c r="E335" s="133" t="s">
        <v>98</v>
      </c>
      <c r="F335" s="97" t="s">
        <v>222</v>
      </c>
      <c r="G335" s="98" t="s">
        <v>29</v>
      </c>
      <c r="H335" s="98" t="s">
        <v>42</v>
      </c>
      <c r="I335" s="99" t="s">
        <v>43</v>
      </c>
      <c r="J335" s="648"/>
      <c r="K335" s="268">
        <f t="shared" ref="K335:M337" si="107">K336</f>
        <v>11.2</v>
      </c>
      <c r="L335" s="29">
        <f t="shared" si="107"/>
        <v>0</v>
      </c>
      <c r="M335" s="268">
        <f t="shared" si="107"/>
        <v>11.2</v>
      </c>
      <c r="N335" s="164"/>
    </row>
    <row r="336" spans="1:14" s="136" customFormat="1" ht="36" x14ac:dyDescent="0.35">
      <c r="A336" s="605"/>
      <c r="B336" s="548" t="s">
        <v>370</v>
      </c>
      <c r="C336" s="649" t="s">
        <v>408</v>
      </c>
      <c r="D336" s="133" t="s">
        <v>50</v>
      </c>
      <c r="E336" s="133" t="s">
        <v>98</v>
      </c>
      <c r="F336" s="458" t="s">
        <v>222</v>
      </c>
      <c r="G336" s="459" t="s">
        <v>29</v>
      </c>
      <c r="H336" s="459" t="s">
        <v>222</v>
      </c>
      <c r="I336" s="460" t="s">
        <v>43</v>
      </c>
      <c r="J336" s="648"/>
      <c r="K336" s="268">
        <f t="shared" si="107"/>
        <v>11.2</v>
      </c>
      <c r="L336" s="29">
        <f t="shared" si="107"/>
        <v>0</v>
      </c>
      <c r="M336" s="268">
        <f t="shared" si="107"/>
        <v>11.2</v>
      </c>
      <c r="N336" s="164"/>
    </row>
    <row r="337" spans="1:14" s="136" customFormat="1" ht="36" x14ac:dyDescent="0.35">
      <c r="A337" s="131"/>
      <c r="B337" s="650" t="s">
        <v>333</v>
      </c>
      <c r="C337" s="167" t="s">
        <v>408</v>
      </c>
      <c r="D337" s="450" t="s">
        <v>50</v>
      </c>
      <c r="E337" s="450" t="s">
        <v>98</v>
      </c>
      <c r="F337" s="451" t="s">
        <v>222</v>
      </c>
      <c r="G337" s="452" t="s">
        <v>29</v>
      </c>
      <c r="H337" s="452" t="s">
        <v>222</v>
      </c>
      <c r="I337" s="453" t="s">
        <v>332</v>
      </c>
      <c r="J337" s="454"/>
      <c r="K337" s="268">
        <f t="shared" si="107"/>
        <v>11.2</v>
      </c>
      <c r="L337" s="29">
        <f t="shared" si="107"/>
        <v>0</v>
      </c>
      <c r="M337" s="268">
        <f t="shared" si="107"/>
        <v>11.2</v>
      </c>
      <c r="N337" s="164"/>
    </row>
    <row r="338" spans="1:14" s="136" customFormat="1" ht="54" x14ac:dyDescent="0.35">
      <c r="A338" s="131"/>
      <c r="B338" s="599" t="s">
        <v>53</v>
      </c>
      <c r="C338" s="321" t="s">
        <v>408</v>
      </c>
      <c r="D338" s="631" t="s">
        <v>50</v>
      </c>
      <c r="E338" s="450" t="s">
        <v>98</v>
      </c>
      <c r="F338" s="451" t="s">
        <v>222</v>
      </c>
      <c r="G338" s="452" t="s">
        <v>29</v>
      </c>
      <c r="H338" s="452" t="s">
        <v>222</v>
      </c>
      <c r="I338" s="453" t="s">
        <v>332</v>
      </c>
      <c r="J338" s="454" t="s">
        <v>54</v>
      </c>
      <c r="K338" s="268">
        <v>11.2</v>
      </c>
      <c r="L338" s="29">
        <f>M338-K338</f>
        <v>0</v>
      </c>
      <c r="M338" s="268">
        <v>11.2</v>
      </c>
      <c r="N338" s="164"/>
    </row>
    <row r="339" spans="1:14" s="136" customFormat="1" ht="18" customHeight="1" x14ac:dyDescent="0.35">
      <c r="A339" s="131"/>
      <c r="B339" s="616" t="s">
        <v>174</v>
      </c>
      <c r="C339" s="132" t="s">
        <v>408</v>
      </c>
      <c r="D339" s="133" t="s">
        <v>63</v>
      </c>
      <c r="E339" s="133"/>
      <c r="F339" s="86"/>
      <c r="G339" s="87"/>
      <c r="H339" s="87"/>
      <c r="I339" s="108"/>
      <c r="J339" s="577"/>
      <c r="K339" s="135">
        <f t="shared" ref="K339:M342" si="108">K340</f>
        <v>97055</v>
      </c>
      <c r="L339" s="135">
        <f t="shared" si="108"/>
        <v>0</v>
      </c>
      <c r="M339" s="135">
        <f t="shared" si="108"/>
        <v>97055</v>
      </c>
      <c r="N339" s="164"/>
    </row>
    <row r="340" spans="1:14" s="136" customFormat="1" ht="18" customHeight="1" x14ac:dyDescent="0.35">
      <c r="A340" s="131"/>
      <c r="B340" s="540" t="s">
        <v>329</v>
      </c>
      <c r="C340" s="132" t="s">
        <v>408</v>
      </c>
      <c r="D340" s="133" t="s">
        <v>63</v>
      </c>
      <c r="E340" s="133" t="s">
        <v>38</v>
      </c>
      <c r="F340" s="86"/>
      <c r="G340" s="87"/>
      <c r="H340" s="87"/>
      <c r="I340" s="108"/>
      <c r="J340" s="89"/>
      <c r="K340" s="135">
        <f t="shared" ref="K340:M341" si="109">K341</f>
        <v>97055</v>
      </c>
      <c r="L340" s="135">
        <f t="shared" si="109"/>
        <v>0</v>
      </c>
      <c r="M340" s="135">
        <f t="shared" si="109"/>
        <v>97055</v>
      </c>
      <c r="N340" s="164"/>
    </row>
    <row r="341" spans="1:14" s="136" customFormat="1" ht="72" customHeight="1" x14ac:dyDescent="0.35">
      <c r="A341" s="131"/>
      <c r="B341" s="560" t="s">
        <v>328</v>
      </c>
      <c r="C341" s="132" t="s">
        <v>408</v>
      </c>
      <c r="D341" s="133" t="s">
        <v>63</v>
      </c>
      <c r="E341" s="133" t="s">
        <v>38</v>
      </c>
      <c r="F341" s="86" t="s">
        <v>102</v>
      </c>
      <c r="G341" s="87" t="s">
        <v>41</v>
      </c>
      <c r="H341" s="87" t="s">
        <v>42</v>
      </c>
      <c r="I341" s="108" t="s">
        <v>43</v>
      </c>
      <c r="J341" s="89"/>
      <c r="K341" s="135">
        <f t="shared" si="109"/>
        <v>97055</v>
      </c>
      <c r="L341" s="135">
        <f t="shared" si="109"/>
        <v>0</v>
      </c>
      <c r="M341" s="135">
        <f t="shared" si="109"/>
        <v>97055</v>
      </c>
      <c r="N341" s="164"/>
    </row>
    <row r="342" spans="1:14" s="136" customFormat="1" ht="54" customHeight="1" x14ac:dyDescent="0.35">
      <c r="A342" s="131"/>
      <c r="B342" s="550" t="s">
        <v>330</v>
      </c>
      <c r="C342" s="132" t="s">
        <v>408</v>
      </c>
      <c r="D342" s="133" t="s">
        <v>63</v>
      </c>
      <c r="E342" s="133" t="s">
        <v>38</v>
      </c>
      <c r="F342" s="86" t="s">
        <v>102</v>
      </c>
      <c r="G342" s="87" t="s">
        <v>44</v>
      </c>
      <c r="H342" s="87" t="s">
        <v>42</v>
      </c>
      <c r="I342" s="108" t="s">
        <v>43</v>
      </c>
      <c r="J342" s="89"/>
      <c r="K342" s="135">
        <f t="shared" si="108"/>
        <v>97055</v>
      </c>
      <c r="L342" s="135">
        <f t="shared" si="108"/>
        <v>0</v>
      </c>
      <c r="M342" s="135">
        <f t="shared" si="108"/>
        <v>97055</v>
      </c>
      <c r="N342" s="164"/>
    </row>
    <row r="343" spans="1:14" s="136" customFormat="1" ht="54" customHeight="1" x14ac:dyDescent="0.35">
      <c r="A343" s="131"/>
      <c r="B343" s="550" t="s">
        <v>369</v>
      </c>
      <c r="C343" s="132" t="s">
        <v>408</v>
      </c>
      <c r="D343" s="133" t="s">
        <v>63</v>
      </c>
      <c r="E343" s="133" t="s">
        <v>38</v>
      </c>
      <c r="F343" s="86" t="s">
        <v>102</v>
      </c>
      <c r="G343" s="87" t="s">
        <v>44</v>
      </c>
      <c r="H343" s="87" t="s">
        <v>36</v>
      </c>
      <c r="I343" s="108" t="s">
        <v>43</v>
      </c>
      <c r="J343" s="89"/>
      <c r="K343" s="135">
        <f t="shared" ref="K343:M344" si="110">K344</f>
        <v>97055</v>
      </c>
      <c r="L343" s="135">
        <f t="shared" si="110"/>
        <v>0</v>
      </c>
      <c r="M343" s="135">
        <f t="shared" si="110"/>
        <v>97055</v>
      </c>
      <c r="N343" s="164"/>
    </row>
    <row r="344" spans="1:14" s="136" customFormat="1" ht="72" customHeight="1" x14ac:dyDescent="0.35">
      <c r="A344" s="131"/>
      <c r="B344" s="550" t="s">
        <v>475</v>
      </c>
      <c r="C344" s="132" t="s">
        <v>408</v>
      </c>
      <c r="D344" s="133" t="s">
        <v>63</v>
      </c>
      <c r="E344" s="133" t="s">
        <v>38</v>
      </c>
      <c r="F344" s="86" t="s">
        <v>102</v>
      </c>
      <c r="G344" s="87" t="s">
        <v>44</v>
      </c>
      <c r="H344" s="87" t="s">
        <v>36</v>
      </c>
      <c r="I344" s="108" t="s">
        <v>409</v>
      </c>
      <c r="J344" s="89"/>
      <c r="K344" s="135">
        <f t="shared" si="110"/>
        <v>97055</v>
      </c>
      <c r="L344" s="135">
        <f t="shared" si="110"/>
        <v>0</v>
      </c>
      <c r="M344" s="135">
        <f t="shared" si="110"/>
        <v>97055</v>
      </c>
      <c r="N344" s="164"/>
    </row>
    <row r="345" spans="1:14" s="136" customFormat="1" ht="54" customHeight="1" x14ac:dyDescent="0.35">
      <c r="A345" s="131"/>
      <c r="B345" s="550" t="s">
        <v>200</v>
      </c>
      <c r="C345" s="132" t="s">
        <v>408</v>
      </c>
      <c r="D345" s="133" t="s">
        <v>63</v>
      </c>
      <c r="E345" s="133" t="s">
        <v>38</v>
      </c>
      <c r="F345" s="86" t="s">
        <v>102</v>
      </c>
      <c r="G345" s="87" t="s">
        <v>44</v>
      </c>
      <c r="H345" s="87" t="s">
        <v>36</v>
      </c>
      <c r="I345" s="108" t="s">
        <v>409</v>
      </c>
      <c r="J345" s="89" t="s">
        <v>201</v>
      </c>
      <c r="K345" s="135">
        <f>92202.2+4852.8</f>
        <v>97055</v>
      </c>
      <c r="L345" s="29">
        <f>M345-K345</f>
        <v>0</v>
      </c>
      <c r="M345" s="135">
        <f>92202.2+4852.8</f>
        <v>97055</v>
      </c>
      <c r="N345" s="164"/>
    </row>
    <row r="346" spans="1:14" s="136" customFormat="1" ht="18" customHeight="1" x14ac:dyDescent="0.35">
      <c r="A346" s="131"/>
      <c r="B346" s="561" t="s">
        <v>176</v>
      </c>
      <c r="C346" s="132" t="s">
        <v>408</v>
      </c>
      <c r="D346" s="133" t="s">
        <v>220</v>
      </c>
      <c r="E346" s="133"/>
      <c r="F346" s="86"/>
      <c r="G346" s="87"/>
      <c r="H346" s="87"/>
      <c r="I346" s="108"/>
      <c r="J346" s="89"/>
      <c r="K346" s="135">
        <f>K347+K355+K363</f>
        <v>64080.43</v>
      </c>
      <c r="L346" s="135">
        <f>L347+L355+L363</f>
        <v>5.04</v>
      </c>
      <c r="M346" s="135">
        <f>M347+M355+M363</f>
        <v>64085.47</v>
      </c>
      <c r="N346" s="164"/>
    </row>
    <row r="347" spans="1:14" s="136" customFormat="1" ht="18" x14ac:dyDescent="0.35">
      <c r="A347" s="131"/>
      <c r="B347" s="561" t="s">
        <v>178</v>
      </c>
      <c r="C347" s="132" t="s">
        <v>408</v>
      </c>
      <c r="D347" s="133" t="s">
        <v>220</v>
      </c>
      <c r="E347" s="133" t="s">
        <v>36</v>
      </c>
      <c r="F347" s="86"/>
      <c r="G347" s="87"/>
      <c r="H347" s="87"/>
      <c r="I347" s="88"/>
      <c r="J347" s="89"/>
      <c r="K347" s="135">
        <f t="shared" ref="K347:M353" si="111">K348</f>
        <v>29583.43</v>
      </c>
      <c r="L347" s="135">
        <f t="shared" si="111"/>
        <v>0</v>
      </c>
      <c r="M347" s="135">
        <f t="shared" si="111"/>
        <v>29583.43</v>
      </c>
      <c r="N347" s="164"/>
    </row>
    <row r="348" spans="1:14" s="136" customFormat="1" ht="54" x14ac:dyDescent="0.35">
      <c r="A348" s="131"/>
      <c r="B348" s="561" t="s">
        <v>428</v>
      </c>
      <c r="C348" s="132" t="s">
        <v>408</v>
      </c>
      <c r="D348" s="133" t="s">
        <v>220</v>
      </c>
      <c r="E348" s="133" t="s">
        <v>36</v>
      </c>
      <c r="F348" s="86" t="s">
        <v>38</v>
      </c>
      <c r="G348" s="87" t="s">
        <v>41</v>
      </c>
      <c r="H348" s="87" t="s">
        <v>42</v>
      </c>
      <c r="I348" s="88" t="s">
        <v>43</v>
      </c>
      <c r="J348" s="89"/>
      <c r="K348" s="135">
        <f t="shared" si="111"/>
        <v>29583.43</v>
      </c>
      <c r="L348" s="135">
        <f t="shared" si="111"/>
        <v>0</v>
      </c>
      <c r="M348" s="135">
        <f t="shared" si="111"/>
        <v>29583.43</v>
      </c>
      <c r="N348" s="164"/>
    </row>
    <row r="349" spans="1:14" s="136" customFormat="1" ht="36" x14ac:dyDescent="0.35">
      <c r="A349" s="131"/>
      <c r="B349" s="561" t="s">
        <v>203</v>
      </c>
      <c r="C349" s="132" t="s">
        <v>408</v>
      </c>
      <c r="D349" s="133" t="s">
        <v>220</v>
      </c>
      <c r="E349" s="133" t="s">
        <v>36</v>
      </c>
      <c r="F349" s="86" t="s">
        <v>38</v>
      </c>
      <c r="G349" s="87" t="s">
        <v>44</v>
      </c>
      <c r="H349" s="87" t="s">
        <v>42</v>
      </c>
      <c r="I349" s="88" t="s">
        <v>43</v>
      </c>
      <c r="J349" s="89"/>
      <c r="K349" s="135">
        <f t="shared" si="111"/>
        <v>29583.43</v>
      </c>
      <c r="L349" s="135">
        <f t="shared" si="111"/>
        <v>0</v>
      </c>
      <c r="M349" s="135">
        <f t="shared" si="111"/>
        <v>29583.43</v>
      </c>
      <c r="N349" s="164"/>
    </row>
    <row r="350" spans="1:14" s="136" customFormat="1" ht="36" x14ac:dyDescent="0.35">
      <c r="A350" s="131"/>
      <c r="B350" s="561" t="s">
        <v>263</v>
      </c>
      <c r="C350" s="132" t="s">
        <v>408</v>
      </c>
      <c r="D350" s="133" t="s">
        <v>220</v>
      </c>
      <c r="E350" s="133" t="s">
        <v>36</v>
      </c>
      <c r="F350" s="86" t="s">
        <v>38</v>
      </c>
      <c r="G350" s="87" t="s">
        <v>44</v>
      </c>
      <c r="H350" s="87" t="s">
        <v>36</v>
      </c>
      <c r="I350" s="108" t="s">
        <v>43</v>
      </c>
      <c r="J350" s="89"/>
      <c r="K350" s="135">
        <f>K351+K353</f>
        <v>29583.43</v>
      </c>
      <c r="L350" s="135">
        <f>L351+L353</f>
        <v>0</v>
      </c>
      <c r="M350" s="135">
        <f>M351+M353</f>
        <v>29583.43</v>
      </c>
      <c r="N350" s="164"/>
    </row>
    <row r="351" spans="1:14" s="136" customFormat="1" ht="36" x14ac:dyDescent="0.35">
      <c r="A351" s="131"/>
      <c r="B351" s="497" t="s">
        <v>205</v>
      </c>
      <c r="C351" s="132" t="s">
        <v>408</v>
      </c>
      <c r="D351" s="133" t="s">
        <v>220</v>
      </c>
      <c r="E351" s="133" t="s">
        <v>36</v>
      </c>
      <c r="F351" s="86" t="s">
        <v>38</v>
      </c>
      <c r="G351" s="87" t="s">
        <v>44</v>
      </c>
      <c r="H351" s="87" t="s">
        <v>36</v>
      </c>
      <c r="I351" s="108" t="s">
        <v>270</v>
      </c>
      <c r="J351" s="89"/>
      <c r="K351" s="135">
        <f>K352</f>
        <v>2145.9</v>
      </c>
      <c r="L351" s="135">
        <f>L352</f>
        <v>0</v>
      </c>
      <c r="M351" s="135">
        <f>M352</f>
        <v>2145.9</v>
      </c>
      <c r="N351" s="164"/>
    </row>
    <row r="352" spans="1:14" s="136" customFormat="1" ht="54" x14ac:dyDescent="0.35">
      <c r="A352" s="131"/>
      <c r="B352" s="651" t="s">
        <v>200</v>
      </c>
      <c r="C352" s="177" t="s">
        <v>408</v>
      </c>
      <c r="D352" s="271" t="s">
        <v>220</v>
      </c>
      <c r="E352" s="271" t="s">
        <v>36</v>
      </c>
      <c r="F352" s="137" t="s">
        <v>38</v>
      </c>
      <c r="G352" s="138" t="s">
        <v>44</v>
      </c>
      <c r="H352" s="138" t="s">
        <v>36</v>
      </c>
      <c r="I352" s="473" t="s">
        <v>270</v>
      </c>
      <c r="J352" s="474" t="s">
        <v>201</v>
      </c>
      <c r="K352" s="197">
        <f>1245.9+450+450</f>
        <v>2145.9</v>
      </c>
      <c r="L352" s="652">
        <f>M352-K352</f>
        <v>0</v>
      </c>
      <c r="M352" s="197">
        <f>1245.9+450+450</f>
        <v>2145.9</v>
      </c>
      <c r="N352" s="164"/>
    </row>
    <row r="353" spans="1:14" s="136" customFormat="1" ht="144" x14ac:dyDescent="0.35">
      <c r="A353" s="131"/>
      <c r="B353" s="679" t="s">
        <v>691</v>
      </c>
      <c r="C353" s="321" t="s">
        <v>408</v>
      </c>
      <c r="D353" s="322" t="s">
        <v>220</v>
      </c>
      <c r="E353" s="640" t="s">
        <v>36</v>
      </c>
      <c r="F353" s="640" t="s">
        <v>38</v>
      </c>
      <c r="G353" s="641" t="s">
        <v>44</v>
      </c>
      <c r="H353" s="641" t="s">
        <v>36</v>
      </c>
      <c r="I353" s="642" t="s">
        <v>476</v>
      </c>
      <c r="J353" s="643"/>
      <c r="K353" s="135">
        <f t="shared" si="111"/>
        <v>27437.53</v>
      </c>
      <c r="L353" s="135">
        <f t="shared" si="111"/>
        <v>0</v>
      </c>
      <c r="M353" s="135">
        <f t="shared" si="111"/>
        <v>27437.53</v>
      </c>
      <c r="N353" s="164"/>
    </row>
    <row r="354" spans="1:14" s="136" customFormat="1" ht="54" x14ac:dyDescent="0.35">
      <c r="A354" s="131"/>
      <c r="B354" s="656" t="s">
        <v>200</v>
      </c>
      <c r="C354" s="657" t="s">
        <v>408</v>
      </c>
      <c r="D354" s="450" t="s">
        <v>220</v>
      </c>
      <c r="E354" s="450" t="s">
        <v>36</v>
      </c>
      <c r="F354" s="644" t="s">
        <v>38</v>
      </c>
      <c r="G354" s="645" t="s">
        <v>44</v>
      </c>
      <c r="H354" s="645" t="s">
        <v>36</v>
      </c>
      <c r="I354" s="646" t="s">
        <v>476</v>
      </c>
      <c r="J354" s="577" t="s">
        <v>201</v>
      </c>
      <c r="K354" s="135">
        <f>16844+521+10072.53</f>
        <v>27437.53</v>
      </c>
      <c r="L354" s="29">
        <f>M354-K354</f>
        <v>0</v>
      </c>
      <c r="M354" s="135">
        <f>16844+521+10072.53</f>
        <v>27437.53</v>
      </c>
      <c r="N354" s="164"/>
    </row>
    <row r="355" spans="1:14" s="136" customFormat="1" ht="18" customHeight="1" x14ac:dyDescent="0.35">
      <c r="A355" s="131"/>
      <c r="B355" s="561" t="s">
        <v>180</v>
      </c>
      <c r="C355" s="132" t="s">
        <v>408</v>
      </c>
      <c r="D355" s="133" t="s">
        <v>220</v>
      </c>
      <c r="E355" s="133" t="s">
        <v>38</v>
      </c>
      <c r="F355" s="86"/>
      <c r="G355" s="87"/>
      <c r="H355" s="87"/>
      <c r="I355" s="108"/>
      <c r="J355" s="89"/>
      <c r="K355" s="135">
        <f t="shared" ref="K355:M361" si="112">K356</f>
        <v>34464.199999999997</v>
      </c>
      <c r="L355" s="135">
        <f t="shared" si="112"/>
        <v>5.04</v>
      </c>
      <c r="M355" s="135">
        <f t="shared" si="112"/>
        <v>34469.24</v>
      </c>
      <c r="N355" s="164"/>
    </row>
    <row r="356" spans="1:14" s="136" customFormat="1" ht="54" customHeight="1" x14ac:dyDescent="0.35">
      <c r="A356" s="131"/>
      <c r="B356" s="561" t="s">
        <v>202</v>
      </c>
      <c r="C356" s="132" t="s">
        <v>408</v>
      </c>
      <c r="D356" s="133" t="s">
        <v>220</v>
      </c>
      <c r="E356" s="133" t="s">
        <v>38</v>
      </c>
      <c r="F356" s="86" t="s">
        <v>38</v>
      </c>
      <c r="G356" s="87" t="s">
        <v>41</v>
      </c>
      <c r="H356" s="87" t="s">
        <v>42</v>
      </c>
      <c r="I356" s="88" t="s">
        <v>43</v>
      </c>
      <c r="J356" s="89"/>
      <c r="K356" s="135">
        <f t="shared" si="112"/>
        <v>34464.199999999997</v>
      </c>
      <c r="L356" s="135">
        <f t="shared" si="112"/>
        <v>5.04</v>
      </c>
      <c r="M356" s="135">
        <f t="shared" si="112"/>
        <v>34469.24</v>
      </c>
      <c r="N356" s="164"/>
    </row>
    <row r="357" spans="1:14" s="136" customFormat="1" ht="36" customHeight="1" x14ac:dyDescent="0.35">
      <c r="A357" s="131"/>
      <c r="B357" s="561" t="s">
        <v>203</v>
      </c>
      <c r="C357" s="132" t="s">
        <v>408</v>
      </c>
      <c r="D357" s="133" t="s">
        <v>220</v>
      </c>
      <c r="E357" s="133" t="s">
        <v>38</v>
      </c>
      <c r="F357" s="86" t="s">
        <v>38</v>
      </c>
      <c r="G357" s="87" t="s">
        <v>44</v>
      </c>
      <c r="H357" s="87" t="s">
        <v>42</v>
      </c>
      <c r="I357" s="88" t="s">
        <v>43</v>
      </c>
      <c r="J357" s="89"/>
      <c r="K357" s="135">
        <f t="shared" si="112"/>
        <v>34464.199999999997</v>
      </c>
      <c r="L357" s="135">
        <f>L358</f>
        <v>5.04</v>
      </c>
      <c r="M357" s="135">
        <f t="shared" si="112"/>
        <v>34469.24</v>
      </c>
      <c r="N357" s="164"/>
    </row>
    <row r="358" spans="1:14" s="136" customFormat="1" ht="18" customHeight="1" x14ac:dyDescent="0.35">
      <c r="A358" s="131"/>
      <c r="B358" s="561" t="s">
        <v>268</v>
      </c>
      <c r="C358" s="132" t="s">
        <v>408</v>
      </c>
      <c r="D358" s="133" t="s">
        <v>220</v>
      </c>
      <c r="E358" s="133" t="s">
        <v>38</v>
      </c>
      <c r="F358" s="86" t="s">
        <v>38</v>
      </c>
      <c r="G358" s="87" t="s">
        <v>44</v>
      </c>
      <c r="H358" s="87" t="s">
        <v>38</v>
      </c>
      <c r="I358" s="88" t="s">
        <v>43</v>
      </c>
      <c r="J358" s="89"/>
      <c r="K358" s="135">
        <f>K361</f>
        <v>34464.199999999997</v>
      </c>
      <c r="L358" s="197">
        <f>L359+L361</f>
        <v>5.04</v>
      </c>
      <c r="M358" s="197">
        <f>M359+M361</f>
        <v>34469.24</v>
      </c>
      <c r="N358" s="164"/>
    </row>
    <row r="359" spans="1:14" s="136" customFormat="1" ht="36" x14ac:dyDescent="0.35">
      <c r="A359" s="131"/>
      <c r="B359" s="497" t="s">
        <v>205</v>
      </c>
      <c r="C359" s="132" t="s">
        <v>408</v>
      </c>
      <c r="D359" s="133" t="s">
        <v>220</v>
      </c>
      <c r="E359" s="133" t="s">
        <v>38</v>
      </c>
      <c r="F359" s="86" t="s">
        <v>38</v>
      </c>
      <c r="G359" s="87" t="s">
        <v>44</v>
      </c>
      <c r="H359" s="87" t="s">
        <v>38</v>
      </c>
      <c r="I359" s="108" t="s">
        <v>270</v>
      </c>
      <c r="J359" s="89"/>
      <c r="K359" s="661"/>
      <c r="L359" s="256">
        <f>L360</f>
        <v>5.04</v>
      </c>
      <c r="M359" s="256">
        <f>M360</f>
        <v>5.04</v>
      </c>
      <c r="N359" s="164"/>
    </row>
    <row r="360" spans="1:14" s="136" customFormat="1" ht="54" x14ac:dyDescent="0.35">
      <c r="A360" s="131"/>
      <c r="B360" s="651" t="s">
        <v>200</v>
      </c>
      <c r="C360" s="177" t="s">
        <v>408</v>
      </c>
      <c r="D360" s="133" t="s">
        <v>220</v>
      </c>
      <c r="E360" s="133" t="s">
        <v>38</v>
      </c>
      <c r="F360" s="137" t="s">
        <v>38</v>
      </c>
      <c r="G360" s="138" t="s">
        <v>44</v>
      </c>
      <c r="H360" s="138" t="s">
        <v>38</v>
      </c>
      <c r="I360" s="473" t="s">
        <v>270</v>
      </c>
      <c r="J360" s="474" t="s">
        <v>201</v>
      </c>
      <c r="K360" s="661"/>
      <c r="L360" s="29">
        <f>M360-K360</f>
        <v>5.04</v>
      </c>
      <c r="M360" s="256">
        <v>5.04</v>
      </c>
      <c r="N360" s="164"/>
    </row>
    <row r="361" spans="1:14" s="136" customFormat="1" ht="147" customHeight="1" x14ac:dyDescent="0.35">
      <c r="A361" s="131"/>
      <c r="B361" s="580" t="s">
        <v>691</v>
      </c>
      <c r="C361" s="581" t="s">
        <v>408</v>
      </c>
      <c r="D361" s="582" t="s">
        <v>220</v>
      </c>
      <c r="E361" s="582" t="s">
        <v>38</v>
      </c>
      <c r="F361" s="361" t="s">
        <v>38</v>
      </c>
      <c r="G361" s="362" t="s">
        <v>44</v>
      </c>
      <c r="H361" s="362" t="s">
        <v>38</v>
      </c>
      <c r="I361" s="363" t="s">
        <v>476</v>
      </c>
      <c r="J361" s="420"/>
      <c r="K361" s="583">
        <f>K362</f>
        <v>34464.199999999997</v>
      </c>
      <c r="L361" s="583">
        <f t="shared" si="112"/>
        <v>0</v>
      </c>
      <c r="M361" s="583">
        <f>M362</f>
        <v>34464.199999999997</v>
      </c>
      <c r="N361" s="164"/>
    </row>
    <row r="362" spans="1:14" s="136" customFormat="1" ht="54" customHeight="1" x14ac:dyDescent="0.35">
      <c r="A362" s="131"/>
      <c r="B362" s="580" t="s">
        <v>200</v>
      </c>
      <c r="C362" s="596" t="s">
        <v>408</v>
      </c>
      <c r="D362" s="597" t="s">
        <v>220</v>
      </c>
      <c r="E362" s="597" t="s">
        <v>38</v>
      </c>
      <c r="F362" s="588" t="s">
        <v>38</v>
      </c>
      <c r="G362" s="589" t="s">
        <v>44</v>
      </c>
      <c r="H362" s="589" t="s">
        <v>38</v>
      </c>
      <c r="I362" s="590" t="s">
        <v>476</v>
      </c>
      <c r="J362" s="420" t="s">
        <v>201</v>
      </c>
      <c r="K362" s="583">
        <v>34464.199999999997</v>
      </c>
      <c r="L362" s="29">
        <f>M362-K362</f>
        <v>0</v>
      </c>
      <c r="M362" s="583">
        <v>34464.199999999997</v>
      </c>
      <c r="N362" s="164"/>
    </row>
    <row r="363" spans="1:14" s="136" customFormat="1" ht="36" customHeight="1" x14ac:dyDescent="0.35">
      <c r="A363" s="131"/>
      <c r="B363" s="497" t="s">
        <v>494</v>
      </c>
      <c r="C363" s="132" t="s">
        <v>408</v>
      </c>
      <c r="D363" s="15" t="s">
        <v>220</v>
      </c>
      <c r="E363" s="15" t="s">
        <v>63</v>
      </c>
      <c r="F363" s="86"/>
      <c r="G363" s="87"/>
      <c r="H363" s="87"/>
      <c r="I363" s="88"/>
      <c r="J363" s="89"/>
      <c r="K363" s="256">
        <f t="shared" ref="K363:M367" si="113">K364</f>
        <v>32.799999999999997</v>
      </c>
      <c r="L363" s="256">
        <f t="shared" si="113"/>
        <v>0</v>
      </c>
      <c r="M363" s="256">
        <f t="shared" si="113"/>
        <v>32.799999999999997</v>
      </c>
      <c r="N363" s="164"/>
    </row>
    <row r="364" spans="1:14" s="136" customFormat="1" ht="54" customHeight="1" x14ac:dyDescent="0.35">
      <c r="A364" s="131"/>
      <c r="B364" s="540" t="s">
        <v>221</v>
      </c>
      <c r="C364" s="132" t="s">
        <v>408</v>
      </c>
      <c r="D364" s="15" t="s">
        <v>220</v>
      </c>
      <c r="E364" s="15" t="s">
        <v>63</v>
      </c>
      <c r="F364" s="97" t="s">
        <v>222</v>
      </c>
      <c r="G364" s="87" t="s">
        <v>41</v>
      </c>
      <c r="H364" s="87" t="s">
        <v>42</v>
      </c>
      <c r="I364" s="88" t="s">
        <v>43</v>
      </c>
      <c r="J364" s="89"/>
      <c r="K364" s="256">
        <f t="shared" si="113"/>
        <v>32.799999999999997</v>
      </c>
      <c r="L364" s="256">
        <f t="shared" si="113"/>
        <v>0</v>
      </c>
      <c r="M364" s="256">
        <f t="shared" si="113"/>
        <v>32.799999999999997</v>
      </c>
      <c r="N364" s="164"/>
    </row>
    <row r="365" spans="1:14" s="136" customFormat="1" ht="36" customHeight="1" x14ac:dyDescent="0.35">
      <c r="A365" s="131"/>
      <c r="B365" s="561" t="s">
        <v>225</v>
      </c>
      <c r="C365" s="132" t="s">
        <v>408</v>
      </c>
      <c r="D365" s="15" t="s">
        <v>220</v>
      </c>
      <c r="E365" s="15" t="s">
        <v>63</v>
      </c>
      <c r="F365" s="97" t="s">
        <v>222</v>
      </c>
      <c r="G365" s="87" t="s">
        <v>87</v>
      </c>
      <c r="H365" s="87" t="s">
        <v>42</v>
      </c>
      <c r="I365" s="88" t="s">
        <v>43</v>
      </c>
      <c r="J365" s="89"/>
      <c r="K365" s="256">
        <f t="shared" si="113"/>
        <v>32.799999999999997</v>
      </c>
      <c r="L365" s="256">
        <f t="shared" si="113"/>
        <v>0</v>
      </c>
      <c r="M365" s="256">
        <f t="shared" si="113"/>
        <v>32.799999999999997</v>
      </c>
      <c r="N365" s="164"/>
    </row>
    <row r="366" spans="1:14" s="136" customFormat="1" ht="72" customHeight="1" x14ac:dyDescent="0.35">
      <c r="A366" s="131"/>
      <c r="B366" s="561" t="s">
        <v>297</v>
      </c>
      <c r="C366" s="132" t="s">
        <v>408</v>
      </c>
      <c r="D366" s="15" t="s">
        <v>220</v>
      </c>
      <c r="E366" s="15" t="s">
        <v>63</v>
      </c>
      <c r="F366" s="97" t="s">
        <v>222</v>
      </c>
      <c r="G366" s="87" t="s">
        <v>87</v>
      </c>
      <c r="H366" s="87" t="s">
        <v>36</v>
      </c>
      <c r="I366" s="88" t="s">
        <v>43</v>
      </c>
      <c r="J366" s="89"/>
      <c r="K366" s="256">
        <f t="shared" si="113"/>
        <v>32.799999999999997</v>
      </c>
      <c r="L366" s="256">
        <f t="shared" si="113"/>
        <v>0</v>
      </c>
      <c r="M366" s="256">
        <f t="shared" si="113"/>
        <v>32.799999999999997</v>
      </c>
      <c r="N366" s="164"/>
    </row>
    <row r="367" spans="1:14" s="136" customFormat="1" ht="36" customHeight="1" x14ac:dyDescent="0.35">
      <c r="A367" s="131"/>
      <c r="B367" s="497" t="s">
        <v>496</v>
      </c>
      <c r="C367" s="132" t="s">
        <v>408</v>
      </c>
      <c r="D367" s="15" t="s">
        <v>220</v>
      </c>
      <c r="E367" s="15" t="s">
        <v>63</v>
      </c>
      <c r="F367" s="97" t="s">
        <v>222</v>
      </c>
      <c r="G367" s="87" t="s">
        <v>87</v>
      </c>
      <c r="H367" s="87" t="s">
        <v>36</v>
      </c>
      <c r="I367" s="88" t="s">
        <v>495</v>
      </c>
      <c r="J367" s="89"/>
      <c r="K367" s="256">
        <f t="shared" si="113"/>
        <v>32.799999999999997</v>
      </c>
      <c r="L367" s="256">
        <f t="shared" si="113"/>
        <v>0</v>
      </c>
      <c r="M367" s="256">
        <f t="shared" si="113"/>
        <v>32.799999999999997</v>
      </c>
      <c r="N367" s="164"/>
    </row>
    <row r="368" spans="1:14" s="136" customFormat="1" ht="54" customHeight="1" x14ac:dyDescent="0.35">
      <c r="A368" s="131"/>
      <c r="B368" s="497" t="s">
        <v>53</v>
      </c>
      <c r="C368" s="132" t="s">
        <v>408</v>
      </c>
      <c r="D368" s="15" t="s">
        <v>220</v>
      </c>
      <c r="E368" s="15" t="s">
        <v>63</v>
      </c>
      <c r="F368" s="97" t="s">
        <v>222</v>
      </c>
      <c r="G368" s="87" t="s">
        <v>87</v>
      </c>
      <c r="H368" s="87" t="s">
        <v>36</v>
      </c>
      <c r="I368" s="88" t="s">
        <v>495</v>
      </c>
      <c r="J368" s="89" t="s">
        <v>54</v>
      </c>
      <c r="K368" s="433">
        <v>32.799999999999997</v>
      </c>
      <c r="L368" s="29">
        <f>M368-K368</f>
        <v>0</v>
      </c>
      <c r="M368" s="433">
        <v>32.799999999999997</v>
      </c>
      <c r="N368" s="164"/>
    </row>
    <row r="369" spans="1:14" s="144" customFormat="1" ht="18" customHeight="1" x14ac:dyDescent="0.35">
      <c r="A369" s="142"/>
      <c r="B369" s="562" t="s">
        <v>117</v>
      </c>
      <c r="C369" s="143" t="s">
        <v>408</v>
      </c>
      <c r="D369" s="107" t="s">
        <v>102</v>
      </c>
      <c r="E369" s="133"/>
      <c r="F369" s="104"/>
      <c r="G369" s="105"/>
      <c r="H369" s="105"/>
      <c r="I369" s="106"/>
      <c r="J369" s="107"/>
      <c r="K369" s="178">
        <f t="shared" ref="K369:M370" si="114">K370</f>
        <v>61866.874739999999</v>
      </c>
      <c r="L369" s="178">
        <f t="shared" si="114"/>
        <v>14060.70336</v>
      </c>
      <c r="M369" s="178">
        <f t="shared" si="114"/>
        <v>75927.578099999999</v>
      </c>
    </row>
    <row r="370" spans="1:14" s="144" customFormat="1" ht="18" customHeight="1" x14ac:dyDescent="0.35">
      <c r="A370" s="142"/>
      <c r="B370" s="550" t="s">
        <v>190</v>
      </c>
      <c r="C370" s="143" t="s">
        <v>408</v>
      </c>
      <c r="D370" s="107" t="s">
        <v>102</v>
      </c>
      <c r="E370" s="107" t="s">
        <v>50</v>
      </c>
      <c r="F370" s="104"/>
      <c r="G370" s="105"/>
      <c r="H370" s="105"/>
      <c r="I370" s="106"/>
      <c r="J370" s="107"/>
      <c r="K370" s="178">
        <f t="shared" si="114"/>
        <v>61866.874739999999</v>
      </c>
      <c r="L370" s="178">
        <f t="shared" si="114"/>
        <v>14060.70336</v>
      </c>
      <c r="M370" s="178">
        <f t="shared" si="114"/>
        <v>75927.578099999999</v>
      </c>
    </row>
    <row r="371" spans="1:14" s="144" customFormat="1" ht="54" customHeight="1" x14ac:dyDescent="0.35">
      <c r="A371" s="142"/>
      <c r="B371" s="558" t="s">
        <v>226</v>
      </c>
      <c r="C371" s="143" t="s">
        <v>408</v>
      </c>
      <c r="D371" s="107" t="s">
        <v>102</v>
      </c>
      <c r="E371" s="107" t="s">
        <v>50</v>
      </c>
      <c r="F371" s="104" t="s">
        <v>77</v>
      </c>
      <c r="G371" s="105" t="s">
        <v>41</v>
      </c>
      <c r="H371" s="105" t="s">
        <v>42</v>
      </c>
      <c r="I371" s="106" t="s">
        <v>43</v>
      </c>
      <c r="J371" s="107"/>
      <c r="K371" s="178">
        <f t="shared" ref="K371:M372" si="115">K372</f>
        <v>61866.874739999999</v>
      </c>
      <c r="L371" s="178">
        <f t="shared" si="115"/>
        <v>14060.70336</v>
      </c>
      <c r="M371" s="178">
        <f t="shared" si="115"/>
        <v>75927.578099999999</v>
      </c>
    </row>
    <row r="372" spans="1:14" s="144" customFormat="1" ht="36" customHeight="1" x14ac:dyDescent="0.35">
      <c r="A372" s="142"/>
      <c r="B372" s="550" t="s">
        <v>335</v>
      </c>
      <c r="C372" s="143" t="s">
        <v>408</v>
      </c>
      <c r="D372" s="107" t="s">
        <v>102</v>
      </c>
      <c r="E372" s="107" t="s">
        <v>50</v>
      </c>
      <c r="F372" s="104" t="s">
        <v>77</v>
      </c>
      <c r="G372" s="105" t="s">
        <v>44</v>
      </c>
      <c r="H372" s="105" t="s">
        <v>42</v>
      </c>
      <c r="I372" s="106" t="s">
        <v>43</v>
      </c>
      <c r="J372" s="107"/>
      <c r="K372" s="178">
        <f t="shared" si="115"/>
        <v>61866.874739999999</v>
      </c>
      <c r="L372" s="178">
        <f t="shared" si="115"/>
        <v>14060.70336</v>
      </c>
      <c r="M372" s="178">
        <f t="shared" si="115"/>
        <v>75927.578099999999</v>
      </c>
    </row>
    <row r="373" spans="1:14" s="145" customFormat="1" ht="90" customHeight="1" x14ac:dyDescent="0.35">
      <c r="A373" s="142"/>
      <c r="B373" s="550" t="s">
        <v>296</v>
      </c>
      <c r="C373" s="143" t="s">
        <v>408</v>
      </c>
      <c r="D373" s="107" t="s">
        <v>102</v>
      </c>
      <c r="E373" s="107" t="s">
        <v>50</v>
      </c>
      <c r="F373" s="104" t="s">
        <v>77</v>
      </c>
      <c r="G373" s="105" t="s">
        <v>44</v>
      </c>
      <c r="H373" s="105" t="s">
        <v>38</v>
      </c>
      <c r="I373" s="106" t="s">
        <v>43</v>
      </c>
      <c r="J373" s="107"/>
      <c r="K373" s="178">
        <f>K374+K376</f>
        <v>61866.874739999999</v>
      </c>
      <c r="L373" s="178">
        <f t="shared" ref="L373" si="116">L374+L376</f>
        <v>14060.70336</v>
      </c>
      <c r="M373" s="178">
        <f>M374+M376</f>
        <v>75927.578099999999</v>
      </c>
    </row>
    <row r="374" spans="1:14" s="136" customFormat="1" ht="108" customHeight="1" x14ac:dyDescent="0.35">
      <c r="A374" s="131"/>
      <c r="B374" s="540" t="s">
        <v>690</v>
      </c>
      <c r="C374" s="132" t="s">
        <v>408</v>
      </c>
      <c r="D374" s="133" t="s">
        <v>102</v>
      </c>
      <c r="E374" s="133" t="s">
        <v>50</v>
      </c>
      <c r="F374" s="86" t="s">
        <v>77</v>
      </c>
      <c r="G374" s="87" t="s">
        <v>44</v>
      </c>
      <c r="H374" s="87" t="s">
        <v>38</v>
      </c>
      <c r="I374" s="108" t="s">
        <v>601</v>
      </c>
      <c r="J374" s="89"/>
      <c r="K374" s="135">
        <f>K375</f>
        <v>56242.574739999996</v>
      </c>
      <c r="L374" s="135">
        <f t="shared" ref="L374" si="117">L375</f>
        <v>14060.70336</v>
      </c>
      <c r="M374" s="135">
        <f>M375</f>
        <v>70303.278099999996</v>
      </c>
      <c r="N374" s="164"/>
    </row>
    <row r="375" spans="1:14" s="136" customFormat="1" ht="54" customHeight="1" x14ac:dyDescent="0.35">
      <c r="A375" s="604"/>
      <c r="B375" s="503" t="s">
        <v>200</v>
      </c>
      <c r="C375" s="132" t="s">
        <v>408</v>
      </c>
      <c r="D375" s="271" t="s">
        <v>102</v>
      </c>
      <c r="E375" s="271" t="s">
        <v>50</v>
      </c>
      <c r="F375" s="137" t="s">
        <v>77</v>
      </c>
      <c r="G375" s="138" t="s">
        <v>44</v>
      </c>
      <c r="H375" s="138" t="s">
        <v>38</v>
      </c>
      <c r="I375" s="473" t="s">
        <v>601</v>
      </c>
      <c r="J375" s="474" t="s">
        <v>201</v>
      </c>
      <c r="K375" s="197">
        <v>56242.574739999996</v>
      </c>
      <c r="L375" s="29">
        <f>M375-K375</f>
        <v>14060.70336</v>
      </c>
      <c r="M375" s="197">
        <f>56242.57474+14060.70336</f>
        <v>70303.278099999996</v>
      </c>
      <c r="N375" s="164"/>
    </row>
    <row r="376" spans="1:14" s="136" customFormat="1" ht="108" x14ac:dyDescent="0.35">
      <c r="A376" s="214"/>
      <c r="B376" s="540" t="s">
        <v>690</v>
      </c>
      <c r="C376" s="177" t="s">
        <v>408</v>
      </c>
      <c r="D376" s="133" t="s">
        <v>102</v>
      </c>
      <c r="E376" s="133" t="s">
        <v>50</v>
      </c>
      <c r="F376" s="86" t="s">
        <v>77</v>
      </c>
      <c r="G376" s="87" t="s">
        <v>44</v>
      </c>
      <c r="H376" s="87" t="s">
        <v>38</v>
      </c>
      <c r="I376" s="108" t="s">
        <v>513</v>
      </c>
      <c r="J376" s="134"/>
      <c r="K376" s="256">
        <f>K377</f>
        <v>5624.3</v>
      </c>
      <c r="L376" s="256">
        <f t="shared" ref="L376" si="118">L377</f>
        <v>0</v>
      </c>
      <c r="M376" s="256">
        <f>M377</f>
        <v>5624.3</v>
      </c>
      <c r="N376" s="164"/>
    </row>
    <row r="377" spans="1:14" s="136" customFormat="1" ht="54" customHeight="1" x14ac:dyDescent="0.35">
      <c r="A377" s="214"/>
      <c r="B377" s="554" t="s">
        <v>200</v>
      </c>
      <c r="C377" s="321" t="s">
        <v>408</v>
      </c>
      <c r="D377" s="630" t="s">
        <v>102</v>
      </c>
      <c r="E377" s="271" t="s">
        <v>50</v>
      </c>
      <c r="F377" s="86" t="s">
        <v>77</v>
      </c>
      <c r="G377" s="87" t="s">
        <v>44</v>
      </c>
      <c r="H377" s="87" t="s">
        <v>38</v>
      </c>
      <c r="I377" s="108" t="s">
        <v>513</v>
      </c>
      <c r="J377" s="608" t="s">
        <v>201</v>
      </c>
      <c r="K377" s="256">
        <v>5624.3</v>
      </c>
      <c r="L377" s="29">
        <f>M377-K377</f>
        <v>0</v>
      </c>
      <c r="M377" s="256">
        <v>5624.3</v>
      </c>
      <c r="N377" s="164"/>
    </row>
    <row r="378" spans="1:14" s="136" customFormat="1" ht="18" customHeight="1" x14ac:dyDescent="0.35">
      <c r="A378" s="584"/>
      <c r="B378" s="501" t="s">
        <v>318</v>
      </c>
      <c r="C378" s="585" t="s">
        <v>408</v>
      </c>
      <c r="D378" s="33" t="s">
        <v>65</v>
      </c>
      <c r="E378" s="33"/>
      <c r="F378" s="208"/>
      <c r="G378" s="209"/>
      <c r="H378" s="209"/>
      <c r="I378" s="210"/>
      <c r="J378" s="587"/>
      <c r="K378" s="437">
        <f t="shared" ref="K378:M383" si="119">K379</f>
        <v>27445.200000000001</v>
      </c>
      <c r="L378" s="437">
        <f t="shared" si="119"/>
        <v>0</v>
      </c>
      <c r="M378" s="437">
        <f t="shared" si="119"/>
        <v>27445.200000000001</v>
      </c>
      <c r="N378" s="164"/>
    </row>
    <row r="379" spans="1:14" s="136" customFormat="1" ht="18" customHeight="1" x14ac:dyDescent="0.35">
      <c r="A379" s="131"/>
      <c r="B379" s="546" t="s">
        <v>356</v>
      </c>
      <c r="C379" s="132" t="s">
        <v>408</v>
      </c>
      <c r="D379" s="484" t="s">
        <v>65</v>
      </c>
      <c r="E379" s="484" t="s">
        <v>36</v>
      </c>
      <c r="F379" s="30"/>
      <c r="G379" s="31"/>
      <c r="H379" s="31"/>
      <c r="I379" s="586"/>
      <c r="J379" s="577"/>
      <c r="K379" s="268">
        <f t="shared" si="119"/>
        <v>27445.200000000001</v>
      </c>
      <c r="L379" s="268">
        <f t="shared" si="119"/>
        <v>0</v>
      </c>
      <c r="M379" s="268">
        <f t="shared" si="119"/>
        <v>27445.200000000001</v>
      </c>
      <c r="N379" s="164"/>
    </row>
    <row r="380" spans="1:14" s="136" customFormat="1" ht="54" customHeight="1" x14ac:dyDescent="0.35">
      <c r="A380" s="131"/>
      <c r="B380" s="497" t="s">
        <v>213</v>
      </c>
      <c r="C380" s="132" t="s">
        <v>408</v>
      </c>
      <c r="D380" s="15" t="s">
        <v>65</v>
      </c>
      <c r="E380" s="15" t="s">
        <v>36</v>
      </c>
      <c r="F380" s="676" t="s">
        <v>50</v>
      </c>
      <c r="G380" s="677" t="s">
        <v>41</v>
      </c>
      <c r="H380" s="677" t="s">
        <v>42</v>
      </c>
      <c r="I380" s="678" t="s">
        <v>43</v>
      </c>
      <c r="J380" s="89"/>
      <c r="K380" s="268">
        <f t="shared" si="119"/>
        <v>27445.200000000001</v>
      </c>
      <c r="L380" s="268">
        <f t="shared" si="119"/>
        <v>0</v>
      </c>
      <c r="M380" s="268">
        <f t="shared" si="119"/>
        <v>27445.200000000001</v>
      </c>
      <c r="N380" s="164"/>
    </row>
    <row r="381" spans="1:14" s="136" customFormat="1" ht="36" customHeight="1" x14ac:dyDescent="0.35">
      <c r="A381" s="131"/>
      <c r="B381" s="546" t="s">
        <v>335</v>
      </c>
      <c r="C381" s="132" t="s">
        <v>408</v>
      </c>
      <c r="D381" s="15" t="s">
        <v>65</v>
      </c>
      <c r="E381" s="15" t="s">
        <v>36</v>
      </c>
      <c r="F381" s="676" t="s">
        <v>50</v>
      </c>
      <c r="G381" s="677" t="s">
        <v>30</v>
      </c>
      <c r="H381" s="677" t="s">
        <v>42</v>
      </c>
      <c r="I381" s="678" t="s">
        <v>43</v>
      </c>
      <c r="J381" s="89"/>
      <c r="K381" s="268">
        <f t="shared" si="119"/>
        <v>27445.200000000001</v>
      </c>
      <c r="L381" s="268">
        <f t="shared" si="119"/>
        <v>0</v>
      </c>
      <c r="M381" s="268">
        <f t="shared" si="119"/>
        <v>27445.200000000001</v>
      </c>
      <c r="N381" s="164"/>
    </row>
    <row r="382" spans="1:14" s="136" customFormat="1" ht="72" customHeight="1" x14ac:dyDescent="0.35">
      <c r="A382" s="131"/>
      <c r="B382" s="497" t="s">
        <v>406</v>
      </c>
      <c r="C382" s="132" t="s">
        <v>408</v>
      </c>
      <c r="D382" s="15" t="s">
        <v>65</v>
      </c>
      <c r="E382" s="15" t="s">
        <v>36</v>
      </c>
      <c r="F382" s="676" t="s">
        <v>50</v>
      </c>
      <c r="G382" s="677" t="s">
        <v>30</v>
      </c>
      <c r="H382" s="677" t="s">
        <v>61</v>
      </c>
      <c r="I382" s="678" t="s">
        <v>43</v>
      </c>
      <c r="J382" s="89"/>
      <c r="K382" s="268">
        <f>K383</f>
        <v>27445.200000000001</v>
      </c>
      <c r="L382" s="268">
        <f t="shared" si="119"/>
        <v>0</v>
      </c>
      <c r="M382" s="268">
        <f>M383</f>
        <v>27445.200000000001</v>
      </c>
      <c r="N382" s="164"/>
    </row>
    <row r="383" spans="1:14" s="136" customFormat="1" ht="147" customHeight="1" x14ac:dyDescent="0.35">
      <c r="A383" s="131"/>
      <c r="B383" s="540" t="s">
        <v>691</v>
      </c>
      <c r="C383" s="132" t="s">
        <v>408</v>
      </c>
      <c r="D383" s="15" t="s">
        <v>65</v>
      </c>
      <c r="E383" s="15" t="s">
        <v>36</v>
      </c>
      <c r="F383" s="676" t="s">
        <v>50</v>
      </c>
      <c r="G383" s="677" t="s">
        <v>30</v>
      </c>
      <c r="H383" s="677" t="s">
        <v>61</v>
      </c>
      <c r="I383" s="678" t="s">
        <v>476</v>
      </c>
      <c r="J383" s="88"/>
      <c r="K383" s="135">
        <f>K384</f>
        <v>27445.200000000001</v>
      </c>
      <c r="L383" s="135">
        <f t="shared" si="119"/>
        <v>0</v>
      </c>
      <c r="M383" s="135">
        <f>M384</f>
        <v>27445.200000000001</v>
      </c>
      <c r="N383" s="164"/>
    </row>
    <row r="384" spans="1:14" s="136" customFormat="1" ht="54" customHeight="1" x14ac:dyDescent="0.35">
      <c r="A384" s="131"/>
      <c r="B384" s="540" t="s">
        <v>200</v>
      </c>
      <c r="C384" s="132" t="s">
        <v>408</v>
      </c>
      <c r="D384" s="15" t="s">
        <v>65</v>
      </c>
      <c r="E384" s="15" t="s">
        <v>36</v>
      </c>
      <c r="F384" s="676" t="s">
        <v>50</v>
      </c>
      <c r="G384" s="677" t="s">
        <v>30</v>
      </c>
      <c r="H384" s="677" t="s">
        <v>61</v>
      </c>
      <c r="I384" s="678" t="s">
        <v>476</v>
      </c>
      <c r="J384" s="88" t="s">
        <v>201</v>
      </c>
      <c r="K384" s="268">
        <v>27445.200000000001</v>
      </c>
      <c r="L384" s="29">
        <f>M384-K384</f>
        <v>0</v>
      </c>
      <c r="M384" s="268">
        <v>27445.200000000001</v>
      </c>
      <c r="N384" s="164"/>
    </row>
    <row r="385" spans="1:16" s="136" customFormat="1" ht="18" customHeight="1" x14ac:dyDescent="0.35">
      <c r="A385" s="131"/>
      <c r="B385" s="540"/>
      <c r="C385" s="159"/>
      <c r="D385" s="160"/>
      <c r="E385" s="160"/>
      <c r="F385" s="161"/>
      <c r="G385" s="162"/>
      <c r="H385" s="162"/>
      <c r="I385" s="163"/>
      <c r="J385" s="160"/>
      <c r="K385" s="135"/>
      <c r="L385" s="135"/>
      <c r="M385" s="135"/>
    </row>
    <row r="386" spans="1:16" s="120" customFormat="1" ht="52.2" customHeight="1" x14ac:dyDescent="0.3">
      <c r="A386" s="115">
        <v>5</v>
      </c>
      <c r="B386" s="543" t="s">
        <v>7</v>
      </c>
      <c r="C386" s="23" t="s">
        <v>417</v>
      </c>
      <c r="D386" s="24"/>
      <c r="E386" s="24"/>
      <c r="F386" s="25"/>
      <c r="G386" s="26"/>
      <c r="H386" s="26"/>
      <c r="I386" s="27"/>
      <c r="J386" s="24"/>
      <c r="K386" s="37">
        <f>K403+K536+K387+K544</f>
        <v>1452955.9314300001</v>
      </c>
      <c r="L386" s="37">
        <f>L403+L536+L387+L544</f>
        <v>10428.900000000005</v>
      </c>
      <c r="M386" s="37">
        <f>M403+M536+M387+M544</f>
        <v>1463384.8314299998</v>
      </c>
      <c r="N386" s="146"/>
      <c r="O386" s="146"/>
      <c r="P386" s="146"/>
    </row>
    <row r="387" spans="1:16" s="120" customFormat="1" ht="18" customHeight="1" x14ac:dyDescent="0.35">
      <c r="A387" s="115"/>
      <c r="B387" s="499" t="s">
        <v>35</v>
      </c>
      <c r="C387" s="240" t="s">
        <v>417</v>
      </c>
      <c r="D387" s="238" t="s">
        <v>36</v>
      </c>
      <c r="E387" s="85"/>
      <c r="F387" s="241"/>
      <c r="G387" s="91"/>
      <c r="H387" s="91"/>
      <c r="I387" s="92"/>
      <c r="J387" s="85"/>
      <c r="K387" s="211">
        <f t="shared" ref="K387:M389" si="120">K388</f>
        <v>520.61800000000005</v>
      </c>
      <c r="L387" s="211">
        <f t="shared" si="120"/>
        <v>0</v>
      </c>
      <c r="M387" s="211">
        <f t="shared" si="120"/>
        <v>520.61800000000005</v>
      </c>
      <c r="N387" s="146"/>
      <c r="O387" s="146"/>
    </row>
    <row r="388" spans="1:16" s="120" customFormat="1" ht="18" customHeight="1" x14ac:dyDescent="0.35">
      <c r="A388" s="115"/>
      <c r="B388" s="499" t="s">
        <v>68</v>
      </c>
      <c r="C388" s="242" t="s">
        <v>417</v>
      </c>
      <c r="D388" s="238" t="s">
        <v>36</v>
      </c>
      <c r="E388" s="238" t="s">
        <v>69</v>
      </c>
      <c r="F388" s="241"/>
      <c r="G388" s="91"/>
      <c r="H388" s="91"/>
      <c r="I388" s="92"/>
      <c r="J388" s="85"/>
      <c r="K388" s="211">
        <f t="shared" si="120"/>
        <v>520.61800000000005</v>
      </c>
      <c r="L388" s="211">
        <f t="shared" si="120"/>
        <v>0</v>
      </c>
      <c r="M388" s="211">
        <f t="shared" si="120"/>
        <v>520.61800000000005</v>
      </c>
      <c r="N388" s="146"/>
      <c r="O388" s="146"/>
    </row>
    <row r="389" spans="1:16" s="120" customFormat="1" ht="54" customHeight="1" x14ac:dyDescent="0.35">
      <c r="A389" s="115"/>
      <c r="B389" s="499" t="s">
        <v>202</v>
      </c>
      <c r="C389" s="240" t="s">
        <v>417</v>
      </c>
      <c r="D389" s="238" t="s">
        <v>36</v>
      </c>
      <c r="E389" s="238" t="s">
        <v>69</v>
      </c>
      <c r="F389" s="669" t="s">
        <v>38</v>
      </c>
      <c r="G389" s="670" t="s">
        <v>41</v>
      </c>
      <c r="H389" s="670" t="s">
        <v>42</v>
      </c>
      <c r="I389" s="671" t="s">
        <v>43</v>
      </c>
      <c r="J389" s="238"/>
      <c r="K389" s="211">
        <f>K390</f>
        <v>520.61800000000005</v>
      </c>
      <c r="L389" s="211">
        <f t="shared" si="120"/>
        <v>0</v>
      </c>
      <c r="M389" s="211">
        <f>M390</f>
        <v>520.61800000000005</v>
      </c>
      <c r="N389" s="146"/>
      <c r="O389" s="146"/>
    </row>
    <row r="390" spans="1:16" s="120" customFormat="1" ht="54" customHeight="1" x14ac:dyDescent="0.35">
      <c r="A390" s="115"/>
      <c r="B390" s="563" t="s">
        <v>209</v>
      </c>
      <c r="C390" s="240" t="s">
        <v>417</v>
      </c>
      <c r="D390" s="238" t="s">
        <v>36</v>
      </c>
      <c r="E390" s="238" t="s">
        <v>69</v>
      </c>
      <c r="F390" s="669" t="s">
        <v>38</v>
      </c>
      <c r="G390" s="670" t="s">
        <v>29</v>
      </c>
      <c r="H390" s="670" t="s">
        <v>42</v>
      </c>
      <c r="I390" s="671" t="s">
        <v>43</v>
      </c>
      <c r="J390" s="238"/>
      <c r="K390" s="211">
        <f>K394+K397+K400+K391</f>
        <v>520.61800000000005</v>
      </c>
      <c r="L390" s="211">
        <f t="shared" ref="L390" si="121">L394+L397+L400+L391</f>
        <v>0</v>
      </c>
      <c r="M390" s="211">
        <f>M394+M397+M400+M391</f>
        <v>520.61800000000005</v>
      </c>
      <c r="N390" s="146"/>
      <c r="O390" s="146"/>
    </row>
    <row r="391" spans="1:16" s="120" customFormat="1" ht="36" x14ac:dyDescent="0.35">
      <c r="A391" s="115"/>
      <c r="B391" s="563" t="s">
        <v>278</v>
      </c>
      <c r="C391" s="242" t="s">
        <v>417</v>
      </c>
      <c r="D391" s="238" t="s">
        <v>36</v>
      </c>
      <c r="E391" s="238" t="s">
        <v>69</v>
      </c>
      <c r="F391" s="669" t="s">
        <v>38</v>
      </c>
      <c r="G391" s="670" t="s">
        <v>29</v>
      </c>
      <c r="H391" s="670" t="s">
        <v>36</v>
      </c>
      <c r="I391" s="397" t="s">
        <v>43</v>
      </c>
      <c r="J391" s="83"/>
      <c r="K391" s="211">
        <f>K392</f>
        <v>65.7</v>
      </c>
      <c r="L391" s="211">
        <f t="shared" ref="L391:L392" si="122">L392</f>
        <v>0</v>
      </c>
      <c r="M391" s="211">
        <f>M392</f>
        <v>65.7</v>
      </c>
      <c r="N391" s="146"/>
      <c r="O391" s="146"/>
    </row>
    <row r="392" spans="1:16" s="120" customFormat="1" ht="54" x14ac:dyDescent="0.35">
      <c r="A392" s="115"/>
      <c r="B392" s="563" t="s">
        <v>375</v>
      </c>
      <c r="C392" s="242" t="s">
        <v>417</v>
      </c>
      <c r="D392" s="238" t="s">
        <v>36</v>
      </c>
      <c r="E392" s="238" t="s">
        <v>69</v>
      </c>
      <c r="F392" s="669" t="s">
        <v>38</v>
      </c>
      <c r="G392" s="670" t="s">
        <v>29</v>
      </c>
      <c r="H392" s="670" t="s">
        <v>36</v>
      </c>
      <c r="I392" s="397" t="s">
        <v>374</v>
      </c>
      <c r="J392" s="83"/>
      <c r="K392" s="211">
        <f>K393</f>
        <v>65.7</v>
      </c>
      <c r="L392" s="211">
        <f t="shared" si="122"/>
        <v>0</v>
      </c>
      <c r="M392" s="211">
        <f>M393</f>
        <v>65.7</v>
      </c>
      <c r="N392" s="146"/>
      <c r="O392" s="146"/>
    </row>
    <row r="393" spans="1:16" s="120" customFormat="1" ht="54" x14ac:dyDescent="0.35">
      <c r="A393" s="115"/>
      <c r="B393" s="563" t="s">
        <v>53</v>
      </c>
      <c r="C393" s="242" t="s">
        <v>417</v>
      </c>
      <c r="D393" s="238" t="s">
        <v>36</v>
      </c>
      <c r="E393" s="238" t="s">
        <v>69</v>
      </c>
      <c r="F393" s="669" t="s">
        <v>38</v>
      </c>
      <c r="G393" s="670" t="s">
        <v>29</v>
      </c>
      <c r="H393" s="670" t="s">
        <v>36</v>
      </c>
      <c r="I393" s="397" t="s">
        <v>374</v>
      </c>
      <c r="J393" s="83" t="s">
        <v>54</v>
      </c>
      <c r="K393" s="211">
        <v>65.7</v>
      </c>
      <c r="L393" s="29">
        <f>M393-K393</f>
        <v>0</v>
      </c>
      <c r="M393" s="211">
        <v>65.7</v>
      </c>
      <c r="N393" s="146"/>
      <c r="O393" s="146"/>
    </row>
    <row r="394" spans="1:16" s="120" customFormat="1" ht="36" customHeight="1" x14ac:dyDescent="0.35">
      <c r="A394" s="115"/>
      <c r="B394" s="499" t="s">
        <v>347</v>
      </c>
      <c r="C394" s="240" t="s">
        <v>417</v>
      </c>
      <c r="D394" s="238" t="s">
        <v>36</v>
      </c>
      <c r="E394" s="238" t="s">
        <v>69</v>
      </c>
      <c r="F394" s="669" t="s">
        <v>38</v>
      </c>
      <c r="G394" s="670" t="s">
        <v>29</v>
      </c>
      <c r="H394" s="670" t="s">
        <v>61</v>
      </c>
      <c r="I394" s="671" t="s">
        <v>43</v>
      </c>
      <c r="J394" s="238"/>
      <c r="K394" s="211">
        <f t="shared" ref="K394:M395" si="123">K395</f>
        <v>233.11800000000002</v>
      </c>
      <c r="L394" s="211">
        <f t="shared" si="123"/>
        <v>0</v>
      </c>
      <c r="M394" s="211">
        <f t="shared" si="123"/>
        <v>233.11800000000002</v>
      </c>
      <c r="N394" s="146"/>
      <c r="O394" s="146"/>
    </row>
    <row r="395" spans="1:16" s="120" customFormat="1" ht="54" customHeight="1" x14ac:dyDescent="0.35">
      <c r="A395" s="115"/>
      <c r="B395" s="563" t="s">
        <v>462</v>
      </c>
      <c r="C395" s="242" t="s">
        <v>417</v>
      </c>
      <c r="D395" s="238" t="s">
        <v>36</v>
      </c>
      <c r="E395" s="238" t="s">
        <v>69</v>
      </c>
      <c r="F395" s="669" t="s">
        <v>38</v>
      </c>
      <c r="G395" s="670" t="s">
        <v>29</v>
      </c>
      <c r="H395" s="670" t="s">
        <v>61</v>
      </c>
      <c r="I395" s="671" t="s">
        <v>103</v>
      </c>
      <c r="J395" s="238"/>
      <c r="K395" s="211">
        <f t="shared" si="123"/>
        <v>233.11800000000002</v>
      </c>
      <c r="L395" s="211">
        <f t="shared" si="123"/>
        <v>0</v>
      </c>
      <c r="M395" s="211">
        <f t="shared" si="123"/>
        <v>233.11800000000002</v>
      </c>
      <c r="N395" s="146"/>
      <c r="O395" s="146"/>
    </row>
    <row r="396" spans="1:16" s="120" customFormat="1" ht="54" customHeight="1" x14ac:dyDescent="0.35">
      <c r="A396" s="115"/>
      <c r="B396" s="563" t="s">
        <v>53</v>
      </c>
      <c r="C396" s="242" t="s">
        <v>417</v>
      </c>
      <c r="D396" s="238" t="s">
        <v>36</v>
      </c>
      <c r="E396" s="238" t="s">
        <v>69</v>
      </c>
      <c r="F396" s="669" t="s">
        <v>38</v>
      </c>
      <c r="G396" s="670" t="s">
        <v>29</v>
      </c>
      <c r="H396" s="670" t="s">
        <v>61</v>
      </c>
      <c r="I396" s="671" t="s">
        <v>103</v>
      </c>
      <c r="J396" s="238" t="s">
        <v>54</v>
      </c>
      <c r="K396" s="211">
        <f>231.3+1.818</f>
        <v>233.11800000000002</v>
      </c>
      <c r="L396" s="29">
        <f>M396-K396</f>
        <v>0</v>
      </c>
      <c r="M396" s="211">
        <f>231.3+1.818</f>
        <v>233.11800000000002</v>
      </c>
      <c r="N396" s="146"/>
      <c r="O396" s="146"/>
    </row>
    <row r="397" spans="1:16" s="120" customFormat="1" ht="36" customHeight="1" x14ac:dyDescent="0.35">
      <c r="A397" s="115"/>
      <c r="B397" s="563" t="s">
        <v>458</v>
      </c>
      <c r="C397" s="240" t="s">
        <v>417</v>
      </c>
      <c r="D397" s="238" t="s">
        <v>36</v>
      </c>
      <c r="E397" s="238" t="s">
        <v>69</v>
      </c>
      <c r="F397" s="669" t="s">
        <v>38</v>
      </c>
      <c r="G397" s="670" t="s">
        <v>29</v>
      </c>
      <c r="H397" s="670" t="s">
        <v>50</v>
      </c>
      <c r="I397" s="671" t="s">
        <v>43</v>
      </c>
      <c r="J397" s="238"/>
      <c r="K397" s="211">
        <f t="shared" ref="K397:M398" si="124">K398</f>
        <v>107</v>
      </c>
      <c r="L397" s="211">
        <f t="shared" si="124"/>
        <v>0</v>
      </c>
      <c r="M397" s="211">
        <f t="shared" si="124"/>
        <v>107</v>
      </c>
      <c r="N397" s="146"/>
      <c r="O397" s="146"/>
    </row>
    <row r="398" spans="1:16" s="120" customFormat="1" ht="18" customHeight="1" x14ac:dyDescent="0.35">
      <c r="A398" s="115"/>
      <c r="B398" s="563" t="s">
        <v>463</v>
      </c>
      <c r="C398" s="242" t="s">
        <v>417</v>
      </c>
      <c r="D398" s="238" t="s">
        <v>36</v>
      </c>
      <c r="E398" s="238" t="s">
        <v>69</v>
      </c>
      <c r="F398" s="669" t="s">
        <v>38</v>
      </c>
      <c r="G398" s="670" t="s">
        <v>29</v>
      </c>
      <c r="H398" s="670" t="s">
        <v>50</v>
      </c>
      <c r="I398" s="671" t="s">
        <v>457</v>
      </c>
      <c r="J398" s="238"/>
      <c r="K398" s="211">
        <f t="shared" si="124"/>
        <v>107</v>
      </c>
      <c r="L398" s="211">
        <f t="shared" si="124"/>
        <v>0</v>
      </c>
      <c r="M398" s="211">
        <f t="shared" si="124"/>
        <v>107</v>
      </c>
      <c r="N398" s="146"/>
      <c r="O398" s="146"/>
    </row>
    <row r="399" spans="1:16" s="120" customFormat="1" ht="54" customHeight="1" x14ac:dyDescent="0.35">
      <c r="A399" s="115"/>
      <c r="B399" s="563" t="s">
        <v>53</v>
      </c>
      <c r="C399" s="242" t="s">
        <v>417</v>
      </c>
      <c r="D399" s="238" t="s">
        <v>36</v>
      </c>
      <c r="E399" s="238" t="s">
        <v>69</v>
      </c>
      <c r="F399" s="669" t="s">
        <v>38</v>
      </c>
      <c r="G399" s="670" t="s">
        <v>29</v>
      </c>
      <c r="H399" s="670" t="s">
        <v>50</v>
      </c>
      <c r="I399" s="671" t="s">
        <v>457</v>
      </c>
      <c r="J399" s="238" t="s">
        <v>54</v>
      </c>
      <c r="K399" s="211">
        <v>107</v>
      </c>
      <c r="L399" s="29">
        <f>M399-K399</f>
        <v>0</v>
      </c>
      <c r="M399" s="211">
        <v>107</v>
      </c>
      <c r="N399" s="146"/>
      <c r="O399" s="146"/>
    </row>
    <row r="400" spans="1:16" s="120" customFormat="1" ht="36" customHeight="1" x14ac:dyDescent="0.35">
      <c r="A400" s="115"/>
      <c r="B400" s="563" t="s">
        <v>461</v>
      </c>
      <c r="C400" s="242" t="s">
        <v>417</v>
      </c>
      <c r="D400" s="238" t="s">
        <v>36</v>
      </c>
      <c r="E400" s="238" t="s">
        <v>69</v>
      </c>
      <c r="F400" s="669" t="s">
        <v>38</v>
      </c>
      <c r="G400" s="670" t="s">
        <v>29</v>
      </c>
      <c r="H400" s="670" t="s">
        <v>63</v>
      </c>
      <c r="I400" s="397" t="s">
        <v>43</v>
      </c>
      <c r="J400" s="83"/>
      <c r="K400" s="211">
        <f t="shared" ref="K400:M401" si="125">K401</f>
        <v>114.8</v>
      </c>
      <c r="L400" s="211">
        <f t="shared" si="125"/>
        <v>0</v>
      </c>
      <c r="M400" s="211">
        <f t="shared" si="125"/>
        <v>114.8</v>
      </c>
      <c r="N400" s="146"/>
      <c r="O400" s="146"/>
    </row>
    <row r="401" spans="1:15" s="120" customFormat="1" ht="36" customHeight="1" x14ac:dyDescent="0.35">
      <c r="A401" s="115"/>
      <c r="B401" s="563" t="s">
        <v>125</v>
      </c>
      <c r="C401" s="242" t="s">
        <v>417</v>
      </c>
      <c r="D401" s="238" t="s">
        <v>36</v>
      </c>
      <c r="E401" s="238" t="s">
        <v>69</v>
      </c>
      <c r="F401" s="669" t="s">
        <v>38</v>
      </c>
      <c r="G401" s="670" t="s">
        <v>29</v>
      </c>
      <c r="H401" s="670" t="s">
        <v>63</v>
      </c>
      <c r="I401" s="397" t="s">
        <v>88</v>
      </c>
      <c r="J401" s="83"/>
      <c r="K401" s="211">
        <f t="shared" si="125"/>
        <v>114.8</v>
      </c>
      <c r="L401" s="211">
        <f t="shared" si="125"/>
        <v>0</v>
      </c>
      <c r="M401" s="211">
        <f t="shared" si="125"/>
        <v>114.8</v>
      </c>
      <c r="N401" s="146"/>
      <c r="O401" s="146"/>
    </row>
    <row r="402" spans="1:15" s="120" customFormat="1" ht="54" customHeight="1" x14ac:dyDescent="0.35">
      <c r="A402" s="115"/>
      <c r="B402" s="563" t="s">
        <v>53</v>
      </c>
      <c r="C402" s="242" t="s">
        <v>417</v>
      </c>
      <c r="D402" s="238" t="s">
        <v>36</v>
      </c>
      <c r="E402" s="238" t="s">
        <v>69</v>
      </c>
      <c r="F402" s="669" t="s">
        <v>38</v>
      </c>
      <c r="G402" s="670" t="s">
        <v>29</v>
      </c>
      <c r="H402" s="670" t="s">
        <v>63</v>
      </c>
      <c r="I402" s="397" t="s">
        <v>88</v>
      </c>
      <c r="J402" s="83" t="s">
        <v>54</v>
      </c>
      <c r="K402" s="211">
        <v>114.8</v>
      </c>
      <c r="L402" s="29">
        <f>M402-K402</f>
        <v>0</v>
      </c>
      <c r="M402" s="211">
        <v>114.8</v>
      </c>
      <c r="N402" s="146"/>
      <c r="O402" s="146"/>
    </row>
    <row r="403" spans="1:15" s="121" customFormat="1" ht="18" customHeight="1" x14ac:dyDescent="0.35">
      <c r="A403" s="16"/>
      <c r="B403" s="497" t="s">
        <v>176</v>
      </c>
      <c r="C403" s="28" t="s">
        <v>417</v>
      </c>
      <c r="D403" s="15" t="s">
        <v>220</v>
      </c>
      <c r="E403" s="15"/>
      <c r="F403" s="676"/>
      <c r="G403" s="677"/>
      <c r="H403" s="677"/>
      <c r="I403" s="678"/>
      <c r="J403" s="15"/>
      <c r="K403" s="29">
        <f>K404+K425+K506+K480+K500</f>
        <v>1421541.8034300001</v>
      </c>
      <c r="L403" s="29">
        <f>L404+L425+L506+L480+L500</f>
        <v>9037.9000000000069</v>
      </c>
      <c r="M403" s="29">
        <f>M404+M425+M506+M480+M500</f>
        <v>1430579.7034299998</v>
      </c>
      <c r="N403" s="147"/>
      <c r="O403" s="147"/>
    </row>
    <row r="404" spans="1:15" s="120" customFormat="1" ht="18" customHeight="1" x14ac:dyDescent="0.35">
      <c r="A404" s="16"/>
      <c r="B404" s="497" t="s">
        <v>178</v>
      </c>
      <c r="C404" s="28" t="s">
        <v>417</v>
      </c>
      <c r="D404" s="15" t="s">
        <v>220</v>
      </c>
      <c r="E404" s="15" t="s">
        <v>36</v>
      </c>
      <c r="F404" s="676"/>
      <c r="G404" s="677"/>
      <c r="H404" s="677"/>
      <c r="I404" s="678"/>
      <c r="J404" s="15"/>
      <c r="K404" s="29">
        <f>K405+K420</f>
        <v>433246.39999999997</v>
      </c>
      <c r="L404" s="29">
        <f t="shared" ref="L404" si="126">L405+L420</f>
        <v>300</v>
      </c>
      <c r="M404" s="29">
        <f>M405+M420</f>
        <v>433546.39999999997</v>
      </c>
    </row>
    <row r="405" spans="1:15" s="120" customFormat="1" ht="54" customHeight="1" x14ac:dyDescent="0.35">
      <c r="A405" s="16"/>
      <c r="B405" s="497" t="s">
        <v>202</v>
      </c>
      <c r="C405" s="28" t="s">
        <v>417</v>
      </c>
      <c r="D405" s="15" t="s">
        <v>220</v>
      </c>
      <c r="E405" s="15" t="s">
        <v>36</v>
      </c>
      <c r="F405" s="676" t="s">
        <v>38</v>
      </c>
      <c r="G405" s="677" t="s">
        <v>41</v>
      </c>
      <c r="H405" s="677" t="s">
        <v>42</v>
      </c>
      <c r="I405" s="678" t="s">
        <v>43</v>
      </c>
      <c r="J405" s="15"/>
      <c r="K405" s="29">
        <f t="shared" ref="K405:M406" si="127">K406</f>
        <v>433190.8</v>
      </c>
      <c r="L405" s="29">
        <f t="shared" si="127"/>
        <v>300</v>
      </c>
      <c r="M405" s="29">
        <f t="shared" si="127"/>
        <v>433490.8</v>
      </c>
    </row>
    <row r="406" spans="1:15" s="120" customFormat="1" ht="36" customHeight="1" x14ac:dyDescent="0.35">
      <c r="A406" s="16"/>
      <c r="B406" s="497" t="s">
        <v>203</v>
      </c>
      <c r="C406" s="28" t="s">
        <v>417</v>
      </c>
      <c r="D406" s="15" t="s">
        <v>220</v>
      </c>
      <c r="E406" s="15" t="s">
        <v>36</v>
      </c>
      <c r="F406" s="676" t="s">
        <v>38</v>
      </c>
      <c r="G406" s="677" t="s">
        <v>44</v>
      </c>
      <c r="H406" s="677" t="s">
        <v>42</v>
      </c>
      <c r="I406" s="678" t="s">
        <v>43</v>
      </c>
      <c r="J406" s="15"/>
      <c r="K406" s="29">
        <f t="shared" si="127"/>
        <v>433190.8</v>
      </c>
      <c r="L406" s="29">
        <f t="shared" si="127"/>
        <v>300</v>
      </c>
      <c r="M406" s="29">
        <f t="shared" si="127"/>
        <v>433490.8</v>
      </c>
    </row>
    <row r="407" spans="1:15" s="120" customFormat="1" ht="36" customHeight="1" x14ac:dyDescent="0.35">
      <c r="A407" s="16"/>
      <c r="B407" s="497" t="s">
        <v>263</v>
      </c>
      <c r="C407" s="28" t="s">
        <v>417</v>
      </c>
      <c r="D407" s="15" t="s">
        <v>220</v>
      </c>
      <c r="E407" s="15" t="s">
        <v>36</v>
      </c>
      <c r="F407" s="676" t="s">
        <v>38</v>
      </c>
      <c r="G407" s="677" t="s">
        <v>44</v>
      </c>
      <c r="H407" s="677" t="s">
        <v>36</v>
      </c>
      <c r="I407" s="678" t="s">
        <v>43</v>
      </c>
      <c r="J407" s="15"/>
      <c r="K407" s="29">
        <f>K416+K418+K408+K412+K410+K414</f>
        <v>433190.8</v>
      </c>
      <c r="L407" s="29">
        <f t="shared" ref="L407" si="128">L416+L418+L408+L412+L410+L414</f>
        <v>300</v>
      </c>
      <c r="M407" s="29">
        <f>M416+M418+M408+M412+M410+M414</f>
        <v>433490.8</v>
      </c>
      <c r="N407" s="179"/>
    </row>
    <row r="408" spans="1:15" s="116" customFormat="1" ht="36" customHeight="1" x14ac:dyDescent="0.35">
      <c r="A408" s="16"/>
      <c r="B408" s="529" t="s">
        <v>454</v>
      </c>
      <c r="C408" s="28" t="s">
        <v>417</v>
      </c>
      <c r="D408" s="15" t="s">
        <v>220</v>
      </c>
      <c r="E408" s="15" t="s">
        <v>36</v>
      </c>
      <c r="F408" s="676" t="s">
        <v>38</v>
      </c>
      <c r="G408" s="677" t="s">
        <v>44</v>
      </c>
      <c r="H408" s="677" t="s">
        <v>36</v>
      </c>
      <c r="I408" s="678" t="s">
        <v>89</v>
      </c>
      <c r="J408" s="15"/>
      <c r="K408" s="29">
        <f>K409</f>
        <v>114625</v>
      </c>
      <c r="L408" s="29">
        <f t="shared" ref="L408" si="129">L409</f>
        <v>0</v>
      </c>
      <c r="M408" s="29">
        <f>M409</f>
        <v>114625</v>
      </c>
      <c r="N408" s="180"/>
    </row>
    <row r="409" spans="1:15" s="116" customFormat="1" ht="54" customHeight="1" x14ac:dyDescent="0.35">
      <c r="A409" s="16"/>
      <c r="B409" s="497" t="s">
        <v>74</v>
      </c>
      <c r="C409" s="28" t="s">
        <v>417</v>
      </c>
      <c r="D409" s="15" t="s">
        <v>220</v>
      </c>
      <c r="E409" s="15" t="s">
        <v>36</v>
      </c>
      <c r="F409" s="676" t="s">
        <v>38</v>
      </c>
      <c r="G409" s="677" t="s">
        <v>44</v>
      </c>
      <c r="H409" s="677" t="s">
        <v>36</v>
      </c>
      <c r="I409" s="678" t="s">
        <v>89</v>
      </c>
      <c r="J409" s="15" t="s">
        <v>75</v>
      </c>
      <c r="K409" s="29">
        <v>114625</v>
      </c>
      <c r="L409" s="29">
        <f>M409-K409</f>
        <v>0</v>
      </c>
      <c r="M409" s="29">
        <v>114625</v>
      </c>
      <c r="N409" s="180"/>
    </row>
    <row r="410" spans="1:15" s="116" customFormat="1" ht="18" customHeight="1" x14ac:dyDescent="0.35">
      <c r="A410" s="16"/>
      <c r="B410" s="497" t="s">
        <v>455</v>
      </c>
      <c r="C410" s="28" t="s">
        <v>417</v>
      </c>
      <c r="D410" s="15" t="s">
        <v>220</v>
      </c>
      <c r="E410" s="15" t="s">
        <v>36</v>
      </c>
      <c r="F410" s="676" t="s">
        <v>38</v>
      </c>
      <c r="G410" s="677" t="s">
        <v>44</v>
      </c>
      <c r="H410" s="677" t="s">
        <v>36</v>
      </c>
      <c r="I410" s="678" t="s">
        <v>376</v>
      </c>
      <c r="J410" s="15"/>
      <c r="K410" s="29">
        <f>K411</f>
        <v>8013.8</v>
      </c>
      <c r="L410" s="29">
        <f t="shared" ref="L410" si="130">L411</f>
        <v>0</v>
      </c>
      <c r="M410" s="29">
        <f>M411</f>
        <v>8013.8</v>
      </c>
      <c r="N410" s="180"/>
    </row>
    <row r="411" spans="1:15" s="116" customFormat="1" ht="54" customHeight="1" x14ac:dyDescent="0.35">
      <c r="A411" s="16"/>
      <c r="B411" s="497" t="s">
        <v>74</v>
      </c>
      <c r="C411" s="28" t="s">
        <v>417</v>
      </c>
      <c r="D411" s="15" t="s">
        <v>220</v>
      </c>
      <c r="E411" s="15" t="s">
        <v>36</v>
      </c>
      <c r="F411" s="676" t="s">
        <v>38</v>
      </c>
      <c r="G411" s="677" t="s">
        <v>44</v>
      </c>
      <c r="H411" s="677" t="s">
        <v>36</v>
      </c>
      <c r="I411" s="678" t="s">
        <v>376</v>
      </c>
      <c r="J411" s="15" t="s">
        <v>75</v>
      </c>
      <c r="K411" s="29">
        <f>6544.2+422+922+125.6</f>
        <v>8013.8</v>
      </c>
      <c r="L411" s="29">
        <f>M411-K411</f>
        <v>0</v>
      </c>
      <c r="M411" s="29">
        <f>6544.2+422+922+125.6</f>
        <v>8013.8</v>
      </c>
      <c r="N411" s="180"/>
    </row>
    <row r="412" spans="1:15" s="120" customFormat="1" ht="54" customHeight="1" x14ac:dyDescent="0.35">
      <c r="A412" s="16"/>
      <c r="B412" s="497" t="s">
        <v>204</v>
      </c>
      <c r="C412" s="28" t="s">
        <v>417</v>
      </c>
      <c r="D412" s="15" t="s">
        <v>220</v>
      </c>
      <c r="E412" s="15" t="s">
        <v>36</v>
      </c>
      <c r="F412" s="676" t="s">
        <v>38</v>
      </c>
      <c r="G412" s="677" t="s">
        <v>44</v>
      </c>
      <c r="H412" s="677" t="s">
        <v>36</v>
      </c>
      <c r="I412" s="678" t="s">
        <v>269</v>
      </c>
      <c r="J412" s="15"/>
      <c r="K412" s="29">
        <f>K413</f>
        <v>33905.5</v>
      </c>
      <c r="L412" s="29">
        <f t="shared" ref="L412" si="131">L413</f>
        <v>0</v>
      </c>
      <c r="M412" s="29">
        <f>M413</f>
        <v>33905.5</v>
      </c>
      <c r="N412" s="179"/>
    </row>
    <row r="413" spans="1:15" s="120" customFormat="1" ht="54" customHeight="1" x14ac:dyDescent="0.35">
      <c r="A413" s="16"/>
      <c r="B413" s="497" t="s">
        <v>74</v>
      </c>
      <c r="C413" s="28" t="s">
        <v>417</v>
      </c>
      <c r="D413" s="15" t="s">
        <v>220</v>
      </c>
      <c r="E413" s="15" t="s">
        <v>36</v>
      </c>
      <c r="F413" s="676" t="s">
        <v>38</v>
      </c>
      <c r="G413" s="677" t="s">
        <v>44</v>
      </c>
      <c r="H413" s="677" t="s">
        <v>36</v>
      </c>
      <c r="I413" s="678" t="s">
        <v>269</v>
      </c>
      <c r="J413" s="15" t="s">
        <v>75</v>
      </c>
      <c r="K413" s="29">
        <f>32079.7+1783.2+25+17.6</f>
        <v>33905.5</v>
      </c>
      <c r="L413" s="29">
        <f>M413-K413</f>
        <v>0</v>
      </c>
      <c r="M413" s="29">
        <f>32079.7+1783.2+25+17.6</f>
        <v>33905.5</v>
      </c>
      <c r="N413" s="179"/>
    </row>
    <row r="414" spans="1:15" s="120" customFormat="1" ht="36" customHeight="1" x14ac:dyDescent="0.35">
      <c r="A414" s="16"/>
      <c r="B414" s="497" t="s">
        <v>205</v>
      </c>
      <c r="C414" s="28" t="s">
        <v>417</v>
      </c>
      <c r="D414" s="15" t="s">
        <v>220</v>
      </c>
      <c r="E414" s="15" t="s">
        <v>36</v>
      </c>
      <c r="F414" s="676" t="s">
        <v>38</v>
      </c>
      <c r="G414" s="677" t="s">
        <v>44</v>
      </c>
      <c r="H414" s="677" t="s">
        <v>36</v>
      </c>
      <c r="I414" s="678" t="s">
        <v>270</v>
      </c>
      <c r="J414" s="15"/>
      <c r="K414" s="29">
        <f>K415</f>
        <v>615.70000000000005</v>
      </c>
      <c r="L414" s="29">
        <f t="shared" ref="L414" si="132">L415</f>
        <v>300</v>
      </c>
      <c r="M414" s="29">
        <f>M415</f>
        <v>915.7</v>
      </c>
      <c r="N414" s="179"/>
    </row>
    <row r="415" spans="1:15" s="116" customFormat="1" ht="54" customHeight="1" x14ac:dyDescent="0.35">
      <c r="A415" s="16"/>
      <c r="B415" s="497" t="s">
        <v>74</v>
      </c>
      <c r="C415" s="28" t="s">
        <v>417</v>
      </c>
      <c r="D415" s="15" t="s">
        <v>220</v>
      </c>
      <c r="E415" s="15" t="s">
        <v>36</v>
      </c>
      <c r="F415" s="676" t="s">
        <v>38</v>
      </c>
      <c r="G415" s="677" t="s">
        <v>44</v>
      </c>
      <c r="H415" s="677" t="s">
        <v>36</v>
      </c>
      <c r="I415" s="678" t="s">
        <v>270</v>
      </c>
      <c r="J415" s="15" t="s">
        <v>75</v>
      </c>
      <c r="K415" s="29">
        <v>615.70000000000005</v>
      </c>
      <c r="L415" s="29">
        <f>M415-K415</f>
        <v>300</v>
      </c>
      <c r="M415" s="29">
        <f>615.7+300</f>
        <v>915.7</v>
      </c>
      <c r="N415" s="180"/>
    </row>
    <row r="416" spans="1:15" s="120" customFormat="1" ht="180" customHeight="1" x14ac:dyDescent="0.35">
      <c r="A416" s="16"/>
      <c r="B416" s="497" t="s">
        <v>264</v>
      </c>
      <c r="C416" s="28" t="s">
        <v>417</v>
      </c>
      <c r="D416" s="15" t="s">
        <v>220</v>
      </c>
      <c r="E416" s="15" t="s">
        <v>36</v>
      </c>
      <c r="F416" s="676" t="s">
        <v>38</v>
      </c>
      <c r="G416" s="677" t="s">
        <v>44</v>
      </c>
      <c r="H416" s="677" t="s">
        <v>36</v>
      </c>
      <c r="I416" s="678" t="s">
        <v>265</v>
      </c>
      <c r="J416" s="15"/>
      <c r="K416" s="29">
        <f>K417</f>
        <v>630.6</v>
      </c>
      <c r="L416" s="29">
        <f t="shared" ref="L416" si="133">L417</f>
        <v>0</v>
      </c>
      <c r="M416" s="29">
        <f>M417</f>
        <v>630.6</v>
      </c>
      <c r="N416" s="179"/>
    </row>
    <row r="417" spans="1:13" s="120" customFormat="1" ht="54" customHeight="1" x14ac:dyDescent="0.35">
      <c r="A417" s="16"/>
      <c r="B417" s="497" t="s">
        <v>74</v>
      </c>
      <c r="C417" s="28" t="s">
        <v>417</v>
      </c>
      <c r="D417" s="15" t="s">
        <v>220</v>
      </c>
      <c r="E417" s="15" t="s">
        <v>36</v>
      </c>
      <c r="F417" s="676" t="s">
        <v>38</v>
      </c>
      <c r="G417" s="677" t="s">
        <v>44</v>
      </c>
      <c r="H417" s="677" t="s">
        <v>36</v>
      </c>
      <c r="I417" s="678" t="s">
        <v>265</v>
      </c>
      <c r="J417" s="15" t="s">
        <v>75</v>
      </c>
      <c r="K417" s="29">
        <v>630.6</v>
      </c>
      <c r="L417" s="29">
        <f>M417-K417</f>
        <v>0</v>
      </c>
      <c r="M417" s="29">
        <v>630.6</v>
      </c>
    </row>
    <row r="418" spans="1:13" s="120" customFormat="1" ht="108" customHeight="1" x14ac:dyDescent="0.35">
      <c r="A418" s="16"/>
      <c r="B418" s="497" t="s">
        <v>341</v>
      </c>
      <c r="C418" s="28" t="s">
        <v>417</v>
      </c>
      <c r="D418" s="15" t="s">
        <v>220</v>
      </c>
      <c r="E418" s="15" t="s">
        <v>36</v>
      </c>
      <c r="F418" s="676" t="s">
        <v>38</v>
      </c>
      <c r="G418" s="677" t="s">
        <v>44</v>
      </c>
      <c r="H418" s="677" t="s">
        <v>36</v>
      </c>
      <c r="I418" s="678" t="s">
        <v>266</v>
      </c>
      <c r="J418" s="15"/>
      <c r="K418" s="29">
        <f>K419</f>
        <v>275400.2</v>
      </c>
      <c r="L418" s="29">
        <f t="shared" ref="L418" si="134">L419</f>
        <v>0</v>
      </c>
      <c r="M418" s="29">
        <f>M419</f>
        <v>275400.2</v>
      </c>
    </row>
    <row r="419" spans="1:13" s="120" customFormat="1" ht="54" customHeight="1" x14ac:dyDescent="0.35">
      <c r="A419" s="16"/>
      <c r="B419" s="497" t="s">
        <v>74</v>
      </c>
      <c r="C419" s="28" t="s">
        <v>417</v>
      </c>
      <c r="D419" s="15" t="s">
        <v>220</v>
      </c>
      <c r="E419" s="15" t="s">
        <v>36</v>
      </c>
      <c r="F419" s="676" t="s">
        <v>38</v>
      </c>
      <c r="G419" s="677" t="s">
        <v>44</v>
      </c>
      <c r="H419" s="677" t="s">
        <v>36</v>
      </c>
      <c r="I419" s="678" t="s">
        <v>266</v>
      </c>
      <c r="J419" s="15" t="s">
        <v>75</v>
      </c>
      <c r="K419" s="29">
        <v>275400.2</v>
      </c>
      <c r="L419" s="29">
        <f>M419-K419</f>
        <v>0</v>
      </c>
      <c r="M419" s="29">
        <v>275400.2</v>
      </c>
    </row>
    <row r="420" spans="1:13" s="120" customFormat="1" ht="54" customHeight="1" x14ac:dyDescent="0.35">
      <c r="A420" s="16"/>
      <c r="B420" s="497" t="s">
        <v>229</v>
      </c>
      <c r="C420" s="28" t="s">
        <v>417</v>
      </c>
      <c r="D420" s="15" t="s">
        <v>220</v>
      </c>
      <c r="E420" s="15" t="s">
        <v>36</v>
      </c>
      <c r="F420" s="676" t="s">
        <v>230</v>
      </c>
      <c r="G420" s="677" t="s">
        <v>41</v>
      </c>
      <c r="H420" s="677" t="s">
        <v>42</v>
      </c>
      <c r="I420" s="678" t="s">
        <v>43</v>
      </c>
      <c r="J420" s="15"/>
      <c r="K420" s="29">
        <f t="shared" ref="K420:M423" si="135">K421</f>
        <v>55.6</v>
      </c>
      <c r="L420" s="29">
        <f t="shared" si="135"/>
        <v>0</v>
      </c>
      <c r="M420" s="29">
        <f t="shared" si="135"/>
        <v>55.6</v>
      </c>
    </row>
    <row r="421" spans="1:13" s="120" customFormat="1" ht="36" customHeight="1" x14ac:dyDescent="0.35">
      <c r="A421" s="16"/>
      <c r="B421" s="497" t="s">
        <v>335</v>
      </c>
      <c r="C421" s="28" t="s">
        <v>417</v>
      </c>
      <c r="D421" s="15" t="s">
        <v>220</v>
      </c>
      <c r="E421" s="15" t="s">
        <v>36</v>
      </c>
      <c r="F421" s="676" t="s">
        <v>230</v>
      </c>
      <c r="G421" s="677" t="s">
        <v>44</v>
      </c>
      <c r="H421" s="677" t="s">
        <v>42</v>
      </c>
      <c r="I421" s="678" t="s">
        <v>43</v>
      </c>
      <c r="J421" s="15"/>
      <c r="K421" s="29">
        <f t="shared" si="135"/>
        <v>55.6</v>
      </c>
      <c r="L421" s="29">
        <f t="shared" si="135"/>
        <v>0</v>
      </c>
      <c r="M421" s="29">
        <f t="shared" si="135"/>
        <v>55.6</v>
      </c>
    </row>
    <row r="422" spans="1:13" s="120" customFormat="1" ht="144" x14ac:dyDescent="0.35">
      <c r="A422" s="16"/>
      <c r="B422" s="497" t="s">
        <v>566</v>
      </c>
      <c r="C422" s="28" t="s">
        <v>417</v>
      </c>
      <c r="D422" s="15" t="s">
        <v>220</v>
      </c>
      <c r="E422" s="15" t="s">
        <v>36</v>
      </c>
      <c r="F422" s="676" t="s">
        <v>230</v>
      </c>
      <c r="G422" s="677" t="s">
        <v>44</v>
      </c>
      <c r="H422" s="677" t="s">
        <v>36</v>
      </c>
      <c r="I422" s="678" t="s">
        <v>43</v>
      </c>
      <c r="J422" s="15"/>
      <c r="K422" s="29">
        <f>K423</f>
        <v>55.6</v>
      </c>
      <c r="L422" s="29">
        <f t="shared" si="135"/>
        <v>0</v>
      </c>
      <c r="M422" s="29">
        <f>M423</f>
        <v>55.6</v>
      </c>
    </row>
    <row r="423" spans="1:13" s="120" customFormat="1" ht="36" customHeight="1" x14ac:dyDescent="0.35">
      <c r="A423" s="16"/>
      <c r="B423" s="497" t="s">
        <v>231</v>
      </c>
      <c r="C423" s="28" t="s">
        <v>417</v>
      </c>
      <c r="D423" s="15" t="s">
        <v>220</v>
      </c>
      <c r="E423" s="15" t="s">
        <v>36</v>
      </c>
      <c r="F423" s="676" t="s">
        <v>230</v>
      </c>
      <c r="G423" s="677" t="s">
        <v>44</v>
      </c>
      <c r="H423" s="677" t="s">
        <v>36</v>
      </c>
      <c r="I423" s="678" t="s">
        <v>276</v>
      </c>
      <c r="J423" s="15"/>
      <c r="K423" s="29">
        <f t="shared" si="135"/>
        <v>55.6</v>
      </c>
      <c r="L423" s="29">
        <f t="shared" si="135"/>
        <v>0</v>
      </c>
      <c r="M423" s="29">
        <f t="shared" si="135"/>
        <v>55.6</v>
      </c>
    </row>
    <row r="424" spans="1:13" s="120" customFormat="1" ht="54" customHeight="1" x14ac:dyDescent="0.35">
      <c r="A424" s="16"/>
      <c r="B424" s="497" t="s">
        <v>74</v>
      </c>
      <c r="C424" s="28" t="s">
        <v>417</v>
      </c>
      <c r="D424" s="15" t="s">
        <v>220</v>
      </c>
      <c r="E424" s="15" t="s">
        <v>36</v>
      </c>
      <c r="F424" s="676" t="s">
        <v>230</v>
      </c>
      <c r="G424" s="677" t="s">
        <v>44</v>
      </c>
      <c r="H424" s="677" t="s">
        <v>36</v>
      </c>
      <c r="I424" s="678" t="s">
        <v>276</v>
      </c>
      <c r="J424" s="15" t="s">
        <v>75</v>
      </c>
      <c r="K424" s="29">
        <v>55.6</v>
      </c>
      <c r="L424" s="29">
        <f>M424-K424</f>
        <v>0</v>
      </c>
      <c r="M424" s="29">
        <v>55.6</v>
      </c>
    </row>
    <row r="425" spans="1:13" s="120" customFormat="1" ht="18" customHeight="1" x14ac:dyDescent="0.35">
      <c r="A425" s="16"/>
      <c r="B425" s="497" t="s">
        <v>180</v>
      </c>
      <c r="C425" s="28" t="s">
        <v>417</v>
      </c>
      <c r="D425" s="15" t="s">
        <v>220</v>
      </c>
      <c r="E425" s="15" t="s">
        <v>38</v>
      </c>
      <c r="F425" s="676"/>
      <c r="G425" s="677"/>
      <c r="H425" s="677"/>
      <c r="I425" s="678"/>
      <c r="J425" s="15"/>
      <c r="K425" s="29">
        <f>K426</f>
        <v>824697.15343000006</v>
      </c>
      <c r="L425" s="29">
        <f t="shared" ref="L425" si="136">L426</f>
        <v>4360.5000000000036</v>
      </c>
      <c r="M425" s="29">
        <f>M426</f>
        <v>829057.65342999995</v>
      </c>
    </row>
    <row r="426" spans="1:13" s="120" customFormat="1" ht="54" customHeight="1" x14ac:dyDescent="0.35">
      <c r="A426" s="16"/>
      <c r="B426" s="497" t="s">
        <v>202</v>
      </c>
      <c r="C426" s="28" t="s">
        <v>417</v>
      </c>
      <c r="D426" s="15" t="s">
        <v>220</v>
      </c>
      <c r="E426" s="15" t="s">
        <v>38</v>
      </c>
      <c r="F426" s="676" t="s">
        <v>38</v>
      </c>
      <c r="G426" s="677" t="s">
        <v>41</v>
      </c>
      <c r="H426" s="677" t="s">
        <v>42</v>
      </c>
      <c r="I426" s="678" t="s">
        <v>43</v>
      </c>
      <c r="J426" s="15"/>
      <c r="K426" s="29">
        <f>K427+K476</f>
        <v>824697.15343000006</v>
      </c>
      <c r="L426" s="29">
        <f>L427+L476</f>
        <v>4360.5000000000036</v>
      </c>
      <c r="M426" s="29">
        <f>M427+M476</f>
        <v>829057.65342999995</v>
      </c>
    </row>
    <row r="427" spans="1:13" s="120" customFormat="1" ht="36" customHeight="1" x14ac:dyDescent="0.35">
      <c r="A427" s="16"/>
      <c r="B427" s="497" t="s">
        <v>203</v>
      </c>
      <c r="C427" s="28" t="s">
        <v>417</v>
      </c>
      <c r="D427" s="15" t="s">
        <v>220</v>
      </c>
      <c r="E427" s="15" t="s">
        <v>38</v>
      </c>
      <c r="F427" s="676" t="s">
        <v>38</v>
      </c>
      <c r="G427" s="677" t="s">
        <v>44</v>
      </c>
      <c r="H427" s="677" t="s">
        <v>42</v>
      </c>
      <c r="I427" s="678" t="s">
        <v>43</v>
      </c>
      <c r="J427" s="15"/>
      <c r="K427" s="29">
        <f>K428+K472</f>
        <v>822318.05343000009</v>
      </c>
      <c r="L427" s="29">
        <f>L428+L472</f>
        <v>4360.5000000000036</v>
      </c>
      <c r="M427" s="29">
        <f>M428+M472</f>
        <v>826678.55342999997</v>
      </c>
    </row>
    <row r="428" spans="1:13" s="120" customFormat="1" ht="18" customHeight="1" x14ac:dyDescent="0.35">
      <c r="A428" s="16"/>
      <c r="B428" s="497" t="s">
        <v>268</v>
      </c>
      <c r="C428" s="28" t="s">
        <v>417</v>
      </c>
      <c r="D428" s="15" t="s">
        <v>220</v>
      </c>
      <c r="E428" s="15" t="s">
        <v>38</v>
      </c>
      <c r="F428" s="676" t="s">
        <v>38</v>
      </c>
      <c r="G428" s="677" t="s">
        <v>44</v>
      </c>
      <c r="H428" s="677" t="s">
        <v>38</v>
      </c>
      <c r="I428" s="678" t="s">
        <v>43</v>
      </c>
      <c r="J428" s="15"/>
      <c r="K428" s="29">
        <f>K437+K440+K445+K449+K453+K429+K434+K460+K463+K443+K468+K458+K466</f>
        <v>816572.15343000006</v>
      </c>
      <c r="L428" s="29">
        <f>L437+L440+L445+L449+L453+L429+L434+L460+L463+L443+L468+L458+L466+L456</f>
        <v>4360.5000000000036</v>
      </c>
      <c r="M428" s="29">
        <f>M437+M440+M445+M449+M453+M429+M434+M460+M463+M443+M468+M458+M466+M456</f>
        <v>820932.65342999995</v>
      </c>
    </row>
    <row r="429" spans="1:13" s="116" customFormat="1" ht="36" customHeight="1" x14ac:dyDescent="0.35">
      <c r="A429" s="16"/>
      <c r="B429" s="529" t="s">
        <v>454</v>
      </c>
      <c r="C429" s="28" t="s">
        <v>417</v>
      </c>
      <c r="D429" s="15" t="s">
        <v>220</v>
      </c>
      <c r="E429" s="15" t="s">
        <v>38</v>
      </c>
      <c r="F429" s="676" t="s">
        <v>38</v>
      </c>
      <c r="G429" s="677" t="s">
        <v>44</v>
      </c>
      <c r="H429" s="677" t="s">
        <v>38</v>
      </c>
      <c r="I429" s="678" t="s">
        <v>89</v>
      </c>
      <c r="J429" s="15"/>
      <c r="K429" s="29">
        <f>K432+K433+K431+K430</f>
        <v>82514.032999999996</v>
      </c>
      <c r="L429" s="29">
        <f t="shared" ref="L429" si="137">L432+L433+L431+L430</f>
        <v>219.00000000000512</v>
      </c>
      <c r="M429" s="29">
        <f>M432+M433+M431+M430</f>
        <v>82733.032999999981</v>
      </c>
    </row>
    <row r="430" spans="1:13" s="116" customFormat="1" ht="108" customHeight="1" x14ac:dyDescent="0.35">
      <c r="A430" s="16"/>
      <c r="B430" s="497" t="s">
        <v>48</v>
      </c>
      <c r="C430" s="28" t="s">
        <v>417</v>
      </c>
      <c r="D430" s="15" t="s">
        <v>220</v>
      </c>
      <c r="E430" s="15" t="s">
        <v>38</v>
      </c>
      <c r="F430" s="676" t="s">
        <v>38</v>
      </c>
      <c r="G430" s="677" t="s">
        <v>44</v>
      </c>
      <c r="H430" s="677" t="s">
        <v>38</v>
      </c>
      <c r="I430" s="678" t="s">
        <v>89</v>
      </c>
      <c r="J430" s="15" t="s">
        <v>49</v>
      </c>
      <c r="K430" s="29">
        <f>451</f>
        <v>451</v>
      </c>
      <c r="L430" s="29">
        <f>M430-K430</f>
        <v>0</v>
      </c>
      <c r="M430" s="29">
        <f>451</f>
        <v>451</v>
      </c>
    </row>
    <row r="431" spans="1:13" s="116" customFormat="1" ht="54" customHeight="1" x14ac:dyDescent="0.35">
      <c r="A431" s="16"/>
      <c r="B431" s="497" t="s">
        <v>53</v>
      </c>
      <c r="C431" s="28" t="s">
        <v>417</v>
      </c>
      <c r="D431" s="15" t="s">
        <v>220</v>
      </c>
      <c r="E431" s="15" t="s">
        <v>38</v>
      </c>
      <c r="F431" s="676" t="s">
        <v>38</v>
      </c>
      <c r="G431" s="677" t="s">
        <v>44</v>
      </c>
      <c r="H431" s="677" t="s">
        <v>38</v>
      </c>
      <c r="I431" s="678" t="s">
        <v>89</v>
      </c>
      <c r="J431" s="15" t="s">
        <v>54</v>
      </c>
      <c r="K431" s="29">
        <f>7739.7+166.733</f>
        <v>7906.433</v>
      </c>
      <c r="L431" s="29">
        <f>M431-K431</f>
        <v>58.299999999999272</v>
      </c>
      <c r="M431" s="29">
        <f>7739.7+166.733-30.1+88.4</f>
        <v>7964.7329999999993</v>
      </c>
    </row>
    <row r="432" spans="1:13" s="116" customFormat="1" ht="54" customHeight="1" x14ac:dyDescent="0.35">
      <c r="A432" s="16"/>
      <c r="B432" s="497" t="s">
        <v>74</v>
      </c>
      <c r="C432" s="28" t="s">
        <v>417</v>
      </c>
      <c r="D432" s="15" t="s">
        <v>220</v>
      </c>
      <c r="E432" s="15" t="s">
        <v>38</v>
      </c>
      <c r="F432" s="676" t="s">
        <v>38</v>
      </c>
      <c r="G432" s="677" t="s">
        <v>44</v>
      </c>
      <c r="H432" s="677" t="s">
        <v>38</v>
      </c>
      <c r="I432" s="678" t="s">
        <v>89</v>
      </c>
      <c r="J432" s="15" t="s">
        <v>75</v>
      </c>
      <c r="K432" s="29">
        <f>73707.9+98.9</f>
        <v>73806.799999999988</v>
      </c>
      <c r="L432" s="29">
        <f>M432-K432</f>
        <v>130.60000000000582</v>
      </c>
      <c r="M432" s="29">
        <f>73707.9+98.9+130.6</f>
        <v>73937.399999999994</v>
      </c>
    </row>
    <row r="433" spans="1:13" s="116" customFormat="1" ht="18" customHeight="1" x14ac:dyDescent="0.35">
      <c r="A433" s="16"/>
      <c r="B433" s="497" t="s">
        <v>55</v>
      </c>
      <c r="C433" s="28" t="s">
        <v>417</v>
      </c>
      <c r="D433" s="15" t="s">
        <v>220</v>
      </c>
      <c r="E433" s="15" t="s">
        <v>38</v>
      </c>
      <c r="F433" s="676" t="s">
        <v>38</v>
      </c>
      <c r="G433" s="677" t="s">
        <v>44</v>
      </c>
      <c r="H433" s="677" t="s">
        <v>38</v>
      </c>
      <c r="I433" s="678" t="s">
        <v>89</v>
      </c>
      <c r="J433" s="15" t="s">
        <v>56</v>
      </c>
      <c r="K433" s="29">
        <v>349.8</v>
      </c>
      <c r="L433" s="29">
        <f>M433-K433</f>
        <v>30.100000000000023</v>
      </c>
      <c r="M433" s="29">
        <f>349.8+30.1</f>
        <v>379.90000000000003</v>
      </c>
    </row>
    <row r="434" spans="1:13" s="116" customFormat="1" ht="18" customHeight="1" x14ac:dyDescent="0.35">
      <c r="A434" s="16"/>
      <c r="B434" s="497" t="s">
        <v>455</v>
      </c>
      <c r="C434" s="28" t="s">
        <v>417</v>
      </c>
      <c r="D434" s="15" t="s">
        <v>220</v>
      </c>
      <c r="E434" s="15" t="s">
        <v>38</v>
      </c>
      <c r="F434" s="676" t="s">
        <v>38</v>
      </c>
      <c r="G434" s="677" t="s">
        <v>44</v>
      </c>
      <c r="H434" s="677" t="s">
        <v>38</v>
      </c>
      <c r="I434" s="678" t="s">
        <v>376</v>
      </c>
      <c r="J434" s="15"/>
      <c r="K434" s="29">
        <f>SUM(K435:K436)</f>
        <v>6357.2204300000003</v>
      </c>
      <c r="L434" s="29">
        <f>SUM(L435:L436)</f>
        <v>2650.9999999999991</v>
      </c>
      <c r="M434" s="29">
        <f>SUM(M435:M436)</f>
        <v>9008.2204299999994</v>
      </c>
    </row>
    <row r="435" spans="1:13" s="116" customFormat="1" ht="54" x14ac:dyDescent="0.35">
      <c r="A435" s="16"/>
      <c r="B435" s="497" t="s">
        <v>53</v>
      </c>
      <c r="C435" s="28" t="s">
        <v>417</v>
      </c>
      <c r="D435" s="15" t="s">
        <v>220</v>
      </c>
      <c r="E435" s="15" t="s">
        <v>38</v>
      </c>
      <c r="F435" s="676" t="s">
        <v>38</v>
      </c>
      <c r="G435" s="677" t="s">
        <v>44</v>
      </c>
      <c r="H435" s="677" t="s">
        <v>38</v>
      </c>
      <c r="I435" s="678" t="s">
        <v>376</v>
      </c>
      <c r="J435" s="15" t="s">
        <v>54</v>
      </c>
      <c r="K435" s="29">
        <v>5.9204299999999996</v>
      </c>
      <c r="L435" s="29">
        <f>M435-K435</f>
        <v>0</v>
      </c>
      <c r="M435" s="29">
        <v>5.9204299999999996</v>
      </c>
    </row>
    <row r="436" spans="1:13" s="116" customFormat="1" ht="54" customHeight="1" x14ac:dyDescent="0.35">
      <c r="A436" s="16"/>
      <c r="B436" s="497" t="s">
        <v>74</v>
      </c>
      <c r="C436" s="28" t="s">
        <v>417</v>
      </c>
      <c r="D436" s="15" t="s">
        <v>220</v>
      </c>
      <c r="E436" s="15" t="s">
        <v>38</v>
      </c>
      <c r="F436" s="676" t="s">
        <v>38</v>
      </c>
      <c r="G436" s="677" t="s">
        <v>44</v>
      </c>
      <c r="H436" s="677" t="s">
        <v>38</v>
      </c>
      <c r="I436" s="678" t="s">
        <v>376</v>
      </c>
      <c r="J436" s="15" t="s">
        <v>75</v>
      </c>
      <c r="K436" s="29">
        <f>5986.3+365</f>
        <v>6351.3</v>
      </c>
      <c r="L436" s="29">
        <f>M436-K436</f>
        <v>2650.9999999999991</v>
      </c>
      <c r="M436" s="29">
        <f>5986.3+365+329.9+1422.7+898.4</f>
        <v>9002.2999999999993</v>
      </c>
    </row>
    <row r="437" spans="1:13" s="120" customFormat="1" ht="54" customHeight="1" x14ac:dyDescent="0.35">
      <c r="A437" s="16"/>
      <c r="B437" s="497" t="s">
        <v>204</v>
      </c>
      <c r="C437" s="28" t="s">
        <v>417</v>
      </c>
      <c r="D437" s="15" t="s">
        <v>220</v>
      </c>
      <c r="E437" s="15" t="s">
        <v>38</v>
      </c>
      <c r="F437" s="676" t="s">
        <v>38</v>
      </c>
      <c r="G437" s="677" t="s">
        <v>44</v>
      </c>
      <c r="H437" s="677" t="s">
        <v>38</v>
      </c>
      <c r="I437" s="678" t="s">
        <v>269</v>
      </c>
      <c r="J437" s="15"/>
      <c r="K437" s="29">
        <f>SUM(K438:K439)</f>
        <v>31608.699999999997</v>
      </c>
      <c r="L437" s="29">
        <f t="shared" ref="L437" si="138">SUM(L438:L439)</f>
        <v>0</v>
      </c>
      <c r="M437" s="29">
        <f>SUM(M438:M439)</f>
        <v>31608.699999999997</v>
      </c>
    </row>
    <row r="438" spans="1:13" s="120" customFormat="1" ht="54" customHeight="1" x14ac:dyDescent="0.35">
      <c r="A438" s="16"/>
      <c r="B438" s="497" t="s">
        <v>53</v>
      </c>
      <c r="C438" s="28" t="s">
        <v>417</v>
      </c>
      <c r="D438" s="15" t="s">
        <v>220</v>
      </c>
      <c r="E438" s="15" t="s">
        <v>38</v>
      </c>
      <c r="F438" s="676" t="s">
        <v>38</v>
      </c>
      <c r="G438" s="677" t="s">
        <v>44</v>
      </c>
      <c r="H438" s="677" t="s">
        <v>38</v>
      </c>
      <c r="I438" s="678" t="s">
        <v>269</v>
      </c>
      <c r="J438" s="15" t="s">
        <v>54</v>
      </c>
      <c r="K438" s="29">
        <f>4392+246+198.4</f>
        <v>4836.3999999999996</v>
      </c>
      <c r="L438" s="29">
        <f>M438-K438</f>
        <v>0</v>
      </c>
      <c r="M438" s="29">
        <f>4392+246+198.4</f>
        <v>4836.3999999999996</v>
      </c>
    </row>
    <row r="439" spans="1:13" s="120" customFormat="1" ht="54" customHeight="1" x14ac:dyDescent="0.35">
      <c r="A439" s="16"/>
      <c r="B439" s="497" t="s">
        <v>74</v>
      </c>
      <c r="C439" s="28" t="s">
        <v>417</v>
      </c>
      <c r="D439" s="15" t="s">
        <v>220</v>
      </c>
      <c r="E439" s="15" t="s">
        <v>38</v>
      </c>
      <c r="F439" s="676" t="s">
        <v>38</v>
      </c>
      <c r="G439" s="677" t="s">
        <v>44</v>
      </c>
      <c r="H439" s="677" t="s">
        <v>38</v>
      </c>
      <c r="I439" s="678" t="s">
        <v>269</v>
      </c>
      <c r="J439" s="15" t="s">
        <v>75</v>
      </c>
      <c r="K439" s="29">
        <f>25254+1414.3+19.9+72+12.1</f>
        <v>26772.3</v>
      </c>
      <c r="L439" s="29">
        <f>M439-K439</f>
        <v>0</v>
      </c>
      <c r="M439" s="29">
        <f>25254+1414.3+19.9+72+12.1</f>
        <v>26772.3</v>
      </c>
    </row>
    <row r="440" spans="1:13" s="120" customFormat="1" ht="36" customHeight="1" x14ac:dyDescent="0.35">
      <c r="A440" s="16"/>
      <c r="B440" s="497" t="s">
        <v>205</v>
      </c>
      <c r="C440" s="28" t="s">
        <v>417</v>
      </c>
      <c r="D440" s="15" t="s">
        <v>220</v>
      </c>
      <c r="E440" s="15" t="s">
        <v>38</v>
      </c>
      <c r="F440" s="676" t="s">
        <v>38</v>
      </c>
      <c r="G440" s="677" t="s">
        <v>44</v>
      </c>
      <c r="H440" s="677" t="s">
        <v>38</v>
      </c>
      <c r="I440" s="678" t="s">
        <v>270</v>
      </c>
      <c r="J440" s="15"/>
      <c r="K440" s="29">
        <f>SUM(K441:K442)</f>
        <v>52904.1</v>
      </c>
      <c r="L440" s="29">
        <f t="shared" ref="L440" si="139">SUM(L441:L442)</f>
        <v>540.5</v>
      </c>
      <c r="M440" s="29">
        <f>SUM(M441:M442)</f>
        <v>53444.6</v>
      </c>
    </row>
    <row r="441" spans="1:13" s="120" customFormat="1" ht="54" customHeight="1" x14ac:dyDescent="0.35">
      <c r="A441" s="16"/>
      <c r="B441" s="497" t="s">
        <v>53</v>
      </c>
      <c r="C441" s="28" t="s">
        <v>417</v>
      </c>
      <c r="D441" s="15" t="s">
        <v>220</v>
      </c>
      <c r="E441" s="15" t="s">
        <v>38</v>
      </c>
      <c r="F441" s="676" t="s">
        <v>38</v>
      </c>
      <c r="G441" s="677" t="s">
        <v>44</v>
      </c>
      <c r="H441" s="677" t="s">
        <v>38</v>
      </c>
      <c r="I441" s="678" t="s">
        <v>270</v>
      </c>
      <c r="J441" s="15" t="s">
        <v>54</v>
      </c>
      <c r="K441" s="29">
        <f>609.1+28880</f>
        <v>29489.1</v>
      </c>
      <c r="L441" s="29">
        <f>M441-K441</f>
        <v>150</v>
      </c>
      <c r="M441" s="29">
        <f>609.1+28880+150</f>
        <v>29639.1</v>
      </c>
    </row>
    <row r="442" spans="1:13" s="120" customFormat="1" ht="54" customHeight="1" x14ac:dyDescent="0.35">
      <c r="A442" s="16"/>
      <c r="B442" s="497" t="s">
        <v>74</v>
      </c>
      <c r="C442" s="28" t="s">
        <v>417</v>
      </c>
      <c r="D442" s="15" t="s">
        <v>220</v>
      </c>
      <c r="E442" s="15" t="s">
        <v>38</v>
      </c>
      <c r="F442" s="676" t="s">
        <v>38</v>
      </c>
      <c r="G442" s="677" t="s">
        <v>44</v>
      </c>
      <c r="H442" s="677" t="s">
        <v>38</v>
      </c>
      <c r="I442" s="678" t="s">
        <v>270</v>
      </c>
      <c r="J442" s="15" t="s">
        <v>75</v>
      </c>
      <c r="K442" s="29">
        <f>23295+120</f>
        <v>23415</v>
      </c>
      <c r="L442" s="29">
        <f>M442-K442</f>
        <v>390.5</v>
      </c>
      <c r="M442" s="29">
        <f>23295+120+81.5+150+69+90</f>
        <v>23805.5</v>
      </c>
    </row>
    <row r="443" spans="1:13" s="120" customFormat="1" ht="54" customHeight="1" x14ac:dyDescent="0.35">
      <c r="A443" s="16"/>
      <c r="B443" s="497" t="s">
        <v>489</v>
      </c>
      <c r="C443" s="28" t="s">
        <v>417</v>
      </c>
      <c r="D443" s="15" t="s">
        <v>220</v>
      </c>
      <c r="E443" s="15" t="s">
        <v>38</v>
      </c>
      <c r="F443" s="676" t="s">
        <v>38</v>
      </c>
      <c r="G443" s="677" t="s">
        <v>44</v>
      </c>
      <c r="H443" s="677" t="s">
        <v>38</v>
      </c>
      <c r="I443" s="678" t="s">
        <v>490</v>
      </c>
      <c r="J443" s="15"/>
      <c r="K443" s="29">
        <f>K444</f>
        <v>30</v>
      </c>
      <c r="L443" s="29">
        <f t="shared" ref="L443" si="140">L444</f>
        <v>0</v>
      </c>
      <c r="M443" s="29">
        <f>M444</f>
        <v>30</v>
      </c>
    </row>
    <row r="444" spans="1:13" s="120" customFormat="1" ht="54" customHeight="1" x14ac:dyDescent="0.35">
      <c r="A444" s="16"/>
      <c r="B444" s="497" t="s">
        <v>74</v>
      </c>
      <c r="C444" s="28" t="s">
        <v>417</v>
      </c>
      <c r="D444" s="15" t="s">
        <v>220</v>
      </c>
      <c r="E444" s="15" t="s">
        <v>38</v>
      </c>
      <c r="F444" s="676" t="s">
        <v>38</v>
      </c>
      <c r="G444" s="677" t="s">
        <v>44</v>
      </c>
      <c r="H444" s="677" t="s">
        <v>38</v>
      </c>
      <c r="I444" s="678" t="s">
        <v>490</v>
      </c>
      <c r="J444" s="15" t="s">
        <v>75</v>
      </c>
      <c r="K444" s="29">
        <v>30</v>
      </c>
      <c r="L444" s="29">
        <f>M444-K444</f>
        <v>0</v>
      </c>
      <c r="M444" s="29">
        <v>30</v>
      </c>
    </row>
    <row r="445" spans="1:13" s="120" customFormat="1" ht="180" customHeight="1" x14ac:dyDescent="0.35">
      <c r="A445" s="16"/>
      <c r="B445" s="497" t="s">
        <v>264</v>
      </c>
      <c r="C445" s="28" t="s">
        <v>417</v>
      </c>
      <c r="D445" s="15" t="s">
        <v>220</v>
      </c>
      <c r="E445" s="15" t="s">
        <v>38</v>
      </c>
      <c r="F445" s="676" t="s">
        <v>38</v>
      </c>
      <c r="G445" s="677" t="s">
        <v>44</v>
      </c>
      <c r="H445" s="677" t="s">
        <v>38</v>
      </c>
      <c r="I445" s="678" t="s">
        <v>265</v>
      </c>
      <c r="J445" s="15"/>
      <c r="K445" s="29">
        <f>SUM(K446:K448)</f>
        <v>1468.6</v>
      </c>
      <c r="L445" s="29">
        <f t="shared" ref="L445" si="141">SUM(L446:L448)</f>
        <v>0</v>
      </c>
      <c r="M445" s="29">
        <f>SUM(M446:M448)</f>
        <v>1468.6</v>
      </c>
    </row>
    <row r="446" spans="1:13" s="120" customFormat="1" ht="108" customHeight="1" x14ac:dyDescent="0.35">
      <c r="A446" s="16"/>
      <c r="B446" s="497" t="s">
        <v>48</v>
      </c>
      <c r="C446" s="28" t="s">
        <v>417</v>
      </c>
      <c r="D446" s="15" t="s">
        <v>220</v>
      </c>
      <c r="E446" s="15" t="s">
        <v>38</v>
      </c>
      <c r="F446" s="676" t="s">
        <v>38</v>
      </c>
      <c r="G446" s="677" t="s">
        <v>44</v>
      </c>
      <c r="H446" s="677" t="s">
        <v>38</v>
      </c>
      <c r="I446" s="678" t="s">
        <v>265</v>
      </c>
      <c r="J446" s="15" t="s">
        <v>49</v>
      </c>
      <c r="K446" s="29">
        <v>77.599999999999994</v>
      </c>
      <c r="L446" s="29">
        <f>M446-K446</f>
        <v>0</v>
      </c>
      <c r="M446" s="29">
        <v>77.599999999999994</v>
      </c>
    </row>
    <row r="447" spans="1:13" s="120" customFormat="1" ht="36" customHeight="1" x14ac:dyDescent="0.35">
      <c r="A447" s="16"/>
      <c r="B447" s="497" t="s">
        <v>118</v>
      </c>
      <c r="C447" s="28" t="s">
        <v>417</v>
      </c>
      <c r="D447" s="15" t="s">
        <v>220</v>
      </c>
      <c r="E447" s="15" t="s">
        <v>38</v>
      </c>
      <c r="F447" s="676" t="s">
        <v>38</v>
      </c>
      <c r="G447" s="677" t="s">
        <v>44</v>
      </c>
      <c r="H447" s="677" t="s">
        <v>38</v>
      </c>
      <c r="I447" s="678" t="s">
        <v>265</v>
      </c>
      <c r="J447" s="15" t="s">
        <v>119</v>
      </c>
      <c r="K447" s="29">
        <v>5.5</v>
      </c>
      <c r="L447" s="29">
        <f>M447-K447</f>
        <v>0</v>
      </c>
      <c r="M447" s="29">
        <v>5.5</v>
      </c>
    </row>
    <row r="448" spans="1:13" s="120" customFormat="1" ht="54" customHeight="1" x14ac:dyDescent="0.35">
      <c r="A448" s="16"/>
      <c r="B448" s="497" t="s">
        <v>74</v>
      </c>
      <c r="C448" s="28" t="s">
        <v>417</v>
      </c>
      <c r="D448" s="15" t="s">
        <v>220</v>
      </c>
      <c r="E448" s="15" t="s">
        <v>38</v>
      </c>
      <c r="F448" s="676" t="s">
        <v>38</v>
      </c>
      <c r="G448" s="677" t="s">
        <v>44</v>
      </c>
      <c r="H448" s="677" t="s">
        <v>38</v>
      </c>
      <c r="I448" s="678" t="s">
        <v>265</v>
      </c>
      <c r="J448" s="15" t="s">
        <v>75</v>
      </c>
      <c r="K448" s="29">
        <v>1385.5</v>
      </c>
      <c r="L448" s="29">
        <f>M448-K448</f>
        <v>0</v>
      </c>
      <c r="M448" s="29">
        <v>1385.5</v>
      </c>
    </row>
    <row r="449" spans="1:14" s="120" customFormat="1" ht="108" customHeight="1" x14ac:dyDescent="0.35">
      <c r="A449" s="16"/>
      <c r="B449" s="497" t="s">
        <v>341</v>
      </c>
      <c r="C449" s="28" t="s">
        <v>417</v>
      </c>
      <c r="D449" s="15" t="s">
        <v>220</v>
      </c>
      <c r="E449" s="15" t="s">
        <v>38</v>
      </c>
      <c r="F449" s="676" t="s">
        <v>38</v>
      </c>
      <c r="G449" s="677" t="s">
        <v>44</v>
      </c>
      <c r="H449" s="677" t="s">
        <v>38</v>
      </c>
      <c r="I449" s="678" t="s">
        <v>266</v>
      </c>
      <c r="J449" s="15"/>
      <c r="K449" s="29">
        <f>K450+K451+K452</f>
        <v>517624.4</v>
      </c>
      <c r="L449" s="29">
        <f t="shared" ref="L449" si="142">L450+L451+L452</f>
        <v>0</v>
      </c>
      <c r="M449" s="29">
        <f>M450+M451+M452</f>
        <v>517624.4</v>
      </c>
    </row>
    <row r="450" spans="1:14" s="120" customFormat="1" ht="108" customHeight="1" x14ac:dyDescent="0.35">
      <c r="A450" s="16"/>
      <c r="B450" s="497" t="s">
        <v>48</v>
      </c>
      <c r="C450" s="28" t="s">
        <v>417</v>
      </c>
      <c r="D450" s="15" t="s">
        <v>220</v>
      </c>
      <c r="E450" s="15" t="s">
        <v>38</v>
      </c>
      <c r="F450" s="676" t="s">
        <v>38</v>
      </c>
      <c r="G450" s="677" t="s">
        <v>44</v>
      </c>
      <c r="H450" s="677" t="s">
        <v>38</v>
      </c>
      <c r="I450" s="678" t="s">
        <v>266</v>
      </c>
      <c r="J450" s="15" t="s">
        <v>49</v>
      </c>
      <c r="K450" s="29">
        <v>30000</v>
      </c>
      <c r="L450" s="29">
        <f>M450-K450</f>
        <v>0</v>
      </c>
      <c r="M450" s="29">
        <v>30000</v>
      </c>
    </row>
    <row r="451" spans="1:14" s="120" customFormat="1" ht="54" customHeight="1" x14ac:dyDescent="0.35">
      <c r="A451" s="16"/>
      <c r="B451" s="497" t="s">
        <v>53</v>
      </c>
      <c r="C451" s="28" t="s">
        <v>417</v>
      </c>
      <c r="D451" s="15" t="s">
        <v>220</v>
      </c>
      <c r="E451" s="15" t="s">
        <v>38</v>
      </c>
      <c r="F451" s="676" t="s">
        <v>38</v>
      </c>
      <c r="G451" s="677" t="s">
        <v>44</v>
      </c>
      <c r="H451" s="677" t="s">
        <v>38</v>
      </c>
      <c r="I451" s="678" t="s">
        <v>266</v>
      </c>
      <c r="J451" s="15" t="s">
        <v>54</v>
      </c>
      <c r="K451" s="29">
        <v>2062</v>
      </c>
      <c r="L451" s="29">
        <f>M451-K451</f>
        <v>0</v>
      </c>
      <c r="M451" s="29">
        <v>2062</v>
      </c>
    </row>
    <row r="452" spans="1:14" s="120" customFormat="1" ht="54" customHeight="1" x14ac:dyDescent="0.35">
      <c r="A452" s="16"/>
      <c r="B452" s="497" t="s">
        <v>74</v>
      </c>
      <c r="C452" s="28" t="s">
        <v>417</v>
      </c>
      <c r="D452" s="15" t="s">
        <v>220</v>
      </c>
      <c r="E452" s="15" t="s">
        <v>38</v>
      </c>
      <c r="F452" s="676" t="s">
        <v>38</v>
      </c>
      <c r="G452" s="677" t="s">
        <v>44</v>
      </c>
      <c r="H452" s="677" t="s">
        <v>38</v>
      </c>
      <c r="I452" s="678" t="s">
        <v>266</v>
      </c>
      <c r="J452" s="15" t="s">
        <v>75</v>
      </c>
      <c r="K452" s="29">
        <v>485562.4</v>
      </c>
      <c r="L452" s="29">
        <f>M452-K452</f>
        <v>0</v>
      </c>
      <c r="M452" s="29">
        <v>485562.4</v>
      </c>
    </row>
    <row r="453" spans="1:14" s="116" customFormat="1" ht="90" customHeight="1" x14ac:dyDescent="0.35">
      <c r="A453" s="16"/>
      <c r="B453" s="497" t="s">
        <v>206</v>
      </c>
      <c r="C453" s="28" t="s">
        <v>417</v>
      </c>
      <c r="D453" s="15" t="s">
        <v>220</v>
      </c>
      <c r="E453" s="15" t="s">
        <v>38</v>
      </c>
      <c r="F453" s="676" t="s">
        <v>38</v>
      </c>
      <c r="G453" s="677" t="s">
        <v>44</v>
      </c>
      <c r="H453" s="677" t="s">
        <v>38</v>
      </c>
      <c r="I453" s="678" t="s">
        <v>271</v>
      </c>
      <c r="J453" s="15"/>
      <c r="K453" s="29">
        <f>SUM(K454:K455)</f>
        <v>2391.3000000000002</v>
      </c>
      <c r="L453" s="29">
        <f t="shared" ref="L453" si="143">SUM(L454:L455)</f>
        <v>0</v>
      </c>
      <c r="M453" s="29">
        <f>SUM(M454:M455)</f>
        <v>2391.3000000000002</v>
      </c>
    </row>
    <row r="454" spans="1:14" s="116" customFormat="1" ht="54" customHeight="1" x14ac:dyDescent="0.35">
      <c r="A454" s="16"/>
      <c r="B454" s="497" t="s">
        <v>53</v>
      </c>
      <c r="C454" s="28" t="s">
        <v>417</v>
      </c>
      <c r="D454" s="15" t="s">
        <v>220</v>
      </c>
      <c r="E454" s="15" t="s">
        <v>38</v>
      </c>
      <c r="F454" s="676" t="s">
        <v>38</v>
      </c>
      <c r="G454" s="677" t="s">
        <v>44</v>
      </c>
      <c r="H454" s="677" t="s">
        <v>38</v>
      </c>
      <c r="I454" s="678" t="s">
        <v>271</v>
      </c>
      <c r="J454" s="15" t="s">
        <v>54</v>
      </c>
      <c r="K454" s="29">
        <v>102.4</v>
      </c>
      <c r="L454" s="29">
        <f>M454-K454</f>
        <v>0</v>
      </c>
      <c r="M454" s="29">
        <v>102.4</v>
      </c>
    </row>
    <row r="455" spans="1:14" s="116" customFormat="1" ht="54" customHeight="1" x14ac:dyDescent="0.35">
      <c r="A455" s="16"/>
      <c r="B455" s="497" t="s">
        <v>74</v>
      </c>
      <c r="C455" s="28" t="s">
        <v>417</v>
      </c>
      <c r="D455" s="15" t="s">
        <v>220</v>
      </c>
      <c r="E455" s="15" t="s">
        <v>38</v>
      </c>
      <c r="F455" s="676" t="s">
        <v>38</v>
      </c>
      <c r="G455" s="677" t="s">
        <v>44</v>
      </c>
      <c r="H455" s="677" t="s">
        <v>38</v>
      </c>
      <c r="I455" s="678" t="s">
        <v>271</v>
      </c>
      <c r="J455" s="15" t="s">
        <v>75</v>
      </c>
      <c r="K455" s="29">
        <v>2288.9</v>
      </c>
      <c r="L455" s="29">
        <f>M455-K455</f>
        <v>0</v>
      </c>
      <c r="M455" s="29">
        <v>2288.9</v>
      </c>
    </row>
    <row r="456" spans="1:14" s="116" customFormat="1" ht="54" customHeight="1" x14ac:dyDescent="0.35">
      <c r="A456" s="16"/>
      <c r="B456" s="497" t="s">
        <v>673</v>
      </c>
      <c r="C456" s="28" t="s">
        <v>417</v>
      </c>
      <c r="D456" s="15" t="s">
        <v>220</v>
      </c>
      <c r="E456" s="15" t="s">
        <v>38</v>
      </c>
      <c r="F456" s="676" t="s">
        <v>38</v>
      </c>
      <c r="G456" s="677" t="s">
        <v>44</v>
      </c>
      <c r="H456" s="677" t="s">
        <v>38</v>
      </c>
      <c r="I456" s="678" t="s">
        <v>672</v>
      </c>
      <c r="J456" s="15"/>
      <c r="K456" s="29"/>
      <c r="L456" s="29">
        <f>L457</f>
        <v>950</v>
      </c>
      <c r="M456" s="29">
        <f>M457</f>
        <v>950</v>
      </c>
    </row>
    <row r="457" spans="1:14" s="116" customFormat="1" ht="54" customHeight="1" x14ac:dyDescent="0.35">
      <c r="A457" s="16"/>
      <c r="B457" s="497" t="s">
        <v>74</v>
      </c>
      <c r="C457" s="28" t="s">
        <v>417</v>
      </c>
      <c r="D457" s="15" t="s">
        <v>220</v>
      </c>
      <c r="E457" s="15" t="s">
        <v>38</v>
      </c>
      <c r="F457" s="676" t="s">
        <v>38</v>
      </c>
      <c r="G457" s="677" t="s">
        <v>44</v>
      </c>
      <c r="H457" s="677" t="s">
        <v>38</v>
      </c>
      <c r="I457" s="678" t="s">
        <v>672</v>
      </c>
      <c r="J457" s="15" t="s">
        <v>75</v>
      </c>
      <c r="K457" s="29"/>
      <c r="L457" s="29">
        <f>M457-K457</f>
        <v>950</v>
      </c>
      <c r="M457" s="29">
        <v>950</v>
      </c>
    </row>
    <row r="458" spans="1:14" s="116" customFormat="1" ht="162" customHeight="1" x14ac:dyDescent="0.35">
      <c r="A458" s="16"/>
      <c r="B458" s="497" t="s">
        <v>508</v>
      </c>
      <c r="C458" s="28" t="s">
        <v>417</v>
      </c>
      <c r="D458" s="15" t="s">
        <v>220</v>
      </c>
      <c r="E458" s="15" t="s">
        <v>38</v>
      </c>
      <c r="F458" s="676" t="s">
        <v>38</v>
      </c>
      <c r="G458" s="677" t="s">
        <v>44</v>
      </c>
      <c r="H458" s="677" t="s">
        <v>38</v>
      </c>
      <c r="I458" s="678" t="s">
        <v>507</v>
      </c>
      <c r="J458" s="15"/>
      <c r="K458" s="29">
        <f>SUM(K459:K459)</f>
        <v>1845.6</v>
      </c>
      <c r="L458" s="29">
        <f t="shared" ref="L458" si="144">SUM(L459:L459)</f>
        <v>0</v>
      </c>
      <c r="M458" s="29">
        <f>SUM(M459:M459)</f>
        <v>1845.6</v>
      </c>
    </row>
    <row r="459" spans="1:14" s="116" customFormat="1" ht="54" customHeight="1" x14ac:dyDescent="0.35">
      <c r="A459" s="16"/>
      <c r="B459" s="497" t="s">
        <v>74</v>
      </c>
      <c r="C459" s="28" t="s">
        <v>417</v>
      </c>
      <c r="D459" s="15" t="s">
        <v>220</v>
      </c>
      <c r="E459" s="15" t="s">
        <v>38</v>
      </c>
      <c r="F459" s="676" t="s">
        <v>38</v>
      </c>
      <c r="G459" s="677" t="s">
        <v>44</v>
      </c>
      <c r="H459" s="677" t="s">
        <v>38</v>
      </c>
      <c r="I459" s="678" t="s">
        <v>507</v>
      </c>
      <c r="J459" s="15" t="s">
        <v>75</v>
      </c>
      <c r="K459" s="29">
        <v>1845.6</v>
      </c>
      <c r="L459" s="29">
        <f>M459-K459</f>
        <v>0</v>
      </c>
      <c r="M459" s="29">
        <v>1845.6</v>
      </c>
    </row>
    <row r="460" spans="1:14" s="116" customFormat="1" ht="94.95" customHeight="1" x14ac:dyDescent="0.35">
      <c r="A460" s="16"/>
      <c r="B460" s="497" t="s">
        <v>446</v>
      </c>
      <c r="C460" s="28" t="s">
        <v>417</v>
      </c>
      <c r="D460" s="15" t="s">
        <v>220</v>
      </c>
      <c r="E460" s="15" t="s">
        <v>38</v>
      </c>
      <c r="F460" s="676" t="s">
        <v>38</v>
      </c>
      <c r="G460" s="677" t="s">
        <v>44</v>
      </c>
      <c r="H460" s="677" t="s">
        <v>38</v>
      </c>
      <c r="I460" s="678" t="s">
        <v>445</v>
      </c>
      <c r="J460" s="15"/>
      <c r="K460" s="29">
        <f>K461+K462</f>
        <v>65994.399999999994</v>
      </c>
      <c r="L460" s="29">
        <f t="shared" ref="L460" si="145">L461+L462</f>
        <v>0</v>
      </c>
      <c r="M460" s="29">
        <f>M461+M462</f>
        <v>65994.399999999994</v>
      </c>
    </row>
    <row r="461" spans="1:14" s="116" customFormat="1" ht="54" customHeight="1" x14ac:dyDescent="0.35">
      <c r="A461" s="16"/>
      <c r="B461" s="497" t="s">
        <v>53</v>
      </c>
      <c r="C461" s="28" t="s">
        <v>417</v>
      </c>
      <c r="D461" s="15" t="s">
        <v>220</v>
      </c>
      <c r="E461" s="15" t="s">
        <v>38</v>
      </c>
      <c r="F461" s="676" t="s">
        <v>38</v>
      </c>
      <c r="G461" s="677" t="s">
        <v>44</v>
      </c>
      <c r="H461" s="677" t="s">
        <v>38</v>
      </c>
      <c r="I461" s="678" t="s">
        <v>445</v>
      </c>
      <c r="J461" s="15" t="s">
        <v>54</v>
      </c>
      <c r="K461" s="29">
        <f>1564-3.1</f>
        <v>1560.9</v>
      </c>
      <c r="L461" s="29">
        <f>M461-K461</f>
        <v>0</v>
      </c>
      <c r="M461" s="29">
        <f>1564-3.1</f>
        <v>1560.9</v>
      </c>
    </row>
    <row r="462" spans="1:14" s="116" customFormat="1" ht="54" customHeight="1" x14ac:dyDescent="0.35">
      <c r="A462" s="16"/>
      <c r="B462" s="497" t="s">
        <v>74</v>
      </c>
      <c r="C462" s="28" t="s">
        <v>417</v>
      </c>
      <c r="D462" s="15" t="s">
        <v>220</v>
      </c>
      <c r="E462" s="15" t="s">
        <v>38</v>
      </c>
      <c r="F462" s="676" t="s">
        <v>38</v>
      </c>
      <c r="G462" s="677" t="s">
        <v>44</v>
      </c>
      <c r="H462" s="677" t="s">
        <v>38</v>
      </c>
      <c r="I462" s="678" t="s">
        <v>445</v>
      </c>
      <c r="J462" s="15" t="s">
        <v>75</v>
      </c>
      <c r="K462" s="29">
        <f>64350.2+83.3</f>
        <v>64433.5</v>
      </c>
      <c r="L462" s="29">
        <f>M462-K462</f>
        <v>0</v>
      </c>
      <c r="M462" s="29">
        <f>64350.2+83.3</f>
        <v>64433.5</v>
      </c>
    </row>
    <row r="463" spans="1:14" s="116" customFormat="1" ht="252" x14ac:dyDescent="0.35">
      <c r="A463" s="16"/>
      <c r="B463" s="497" t="s">
        <v>693</v>
      </c>
      <c r="C463" s="28" t="s">
        <v>417</v>
      </c>
      <c r="D463" s="15" t="s">
        <v>220</v>
      </c>
      <c r="E463" s="15" t="s">
        <v>38</v>
      </c>
      <c r="F463" s="676" t="s">
        <v>38</v>
      </c>
      <c r="G463" s="677" t="s">
        <v>44</v>
      </c>
      <c r="H463" s="677" t="s">
        <v>38</v>
      </c>
      <c r="I463" s="678" t="s">
        <v>631</v>
      </c>
      <c r="J463" s="15"/>
      <c r="K463" s="29">
        <f>K464+K465</f>
        <v>35544.6</v>
      </c>
      <c r="L463" s="29">
        <f t="shared" ref="L463" si="146">L464+L465</f>
        <v>0</v>
      </c>
      <c r="M463" s="29">
        <f>M464+M465</f>
        <v>35544.6</v>
      </c>
      <c r="N463" s="680"/>
    </row>
    <row r="464" spans="1:14" s="116" customFormat="1" ht="54" customHeight="1" x14ac:dyDescent="0.35">
      <c r="A464" s="16"/>
      <c r="B464" s="497" t="s">
        <v>48</v>
      </c>
      <c r="C464" s="28" t="s">
        <v>417</v>
      </c>
      <c r="D464" s="15" t="s">
        <v>220</v>
      </c>
      <c r="E464" s="15" t="s">
        <v>38</v>
      </c>
      <c r="F464" s="676" t="s">
        <v>38</v>
      </c>
      <c r="G464" s="677" t="s">
        <v>44</v>
      </c>
      <c r="H464" s="677" t="s">
        <v>38</v>
      </c>
      <c r="I464" s="678" t="s">
        <v>631</v>
      </c>
      <c r="J464" s="15" t="s">
        <v>49</v>
      </c>
      <c r="K464" s="29">
        <v>2968.6</v>
      </c>
      <c r="L464" s="29">
        <f>M464-K464</f>
        <v>0</v>
      </c>
      <c r="M464" s="29">
        <v>2968.6</v>
      </c>
    </row>
    <row r="465" spans="1:13" s="116" customFormat="1" ht="54" customHeight="1" x14ac:dyDescent="0.35">
      <c r="A465" s="16"/>
      <c r="B465" s="497" t="s">
        <v>74</v>
      </c>
      <c r="C465" s="28" t="s">
        <v>417</v>
      </c>
      <c r="D465" s="15" t="s">
        <v>220</v>
      </c>
      <c r="E465" s="15" t="s">
        <v>38</v>
      </c>
      <c r="F465" s="676" t="s">
        <v>38</v>
      </c>
      <c r="G465" s="677" t="s">
        <v>44</v>
      </c>
      <c r="H465" s="677" t="s">
        <v>38</v>
      </c>
      <c r="I465" s="678" t="s">
        <v>631</v>
      </c>
      <c r="J465" s="15" t="s">
        <v>75</v>
      </c>
      <c r="K465" s="29">
        <v>32576</v>
      </c>
      <c r="L465" s="29">
        <f>M465-K465</f>
        <v>0</v>
      </c>
      <c r="M465" s="29">
        <v>32576</v>
      </c>
    </row>
    <row r="466" spans="1:13" s="116" customFormat="1" ht="211.95" customHeight="1" x14ac:dyDescent="0.35">
      <c r="A466" s="16"/>
      <c r="B466" s="564" t="s">
        <v>627</v>
      </c>
      <c r="C466" s="28" t="s">
        <v>417</v>
      </c>
      <c r="D466" s="15" t="s">
        <v>220</v>
      </c>
      <c r="E466" s="15" t="s">
        <v>38</v>
      </c>
      <c r="F466" s="676" t="s">
        <v>38</v>
      </c>
      <c r="G466" s="677" t="s">
        <v>44</v>
      </c>
      <c r="H466" s="677" t="s">
        <v>38</v>
      </c>
      <c r="I466" s="678" t="s">
        <v>589</v>
      </c>
      <c r="J466" s="15"/>
      <c r="K466" s="29">
        <f>K467</f>
        <v>3900.6</v>
      </c>
      <c r="L466" s="29">
        <f t="shared" ref="L466" si="147">L467</f>
        <v>0</v>
      </c>
      <c r="M466" s="29">
        <f>M467</f>
        <v>3900.6</v>
      </c>
    </row>
    <row r="467" spans="1:13" s="116" customFormat="1" ht="54" customHeight="1" x14ac:dyDescent="0.35">
      <c r="A467" s="16"/>
      <c r="B467" s="497" t="s">
        <v>74</v>
      </c>
      <c r="C467" s="28" t="s">
        <v>417</v>
      </c>
      <c r="D467" s="15" t="s">
        <v>220</v>
      </c>
      <c r="E467" s="15" t="s">
        <v>38</v>
      </c>
      <c r="F467" s="676" t="s">
        <v>38</v>
      </c>
      <c r="G467" s="677" t="s">
        <v>44</v>
      </c>
      <c r="H467" s="677" t="s">
        <v>38</v>
      </c>
      <c r="I467" s="678" t="s">
        <v>589</v>
      </c>
      <c r="J467" s="15" t="s">
        <v>75</v>
      </c>
      <c r="K467" s="29">
        <v>3900.6</v>
      </c>
      <c r="L467" s="29">
        <f>M467-K467</f>
        <v>0</v>
      </c>
      <c r="M467" s="29">
        <v>3900.6</v>
      </c>
    </row>
    <row r="468" spans="1:13" s="116" customFormat="1" ht="90" customHeight="1" x14ac:dyDescent="0.35">
      <c r="A468" s="16"/>
      <c r="B468" s="497" t="s">
        <v>694</v>
      </c>
      <c r="C468" s="28" t="s">
        <v>417</v>
      </c>
      <c r="D468" s="15" t="s">
        <v>220</v>
      </c>
      <c r="E468" s="15" t="s">
        <v>38</v>
      </c>
      <c r="F468" s="676" t="s">
        <v>38</v>
      </c>
      <c r="G468" s="677" t="s">
        <v>44</v>
      </c>
      <c r="H468" s="677" t="s">
        <v>38</v>
      </c>
      <c r="I468" s="678" t="s">
        <v>505</v>
      </c>
      <c r="J468" s="15"/>
      <c r="K468" s="29">
        <f>SUM(K469:K471)</f>
        <v>14388.6</v>
      </c>
      <c r="L468" s="29">
        <f t="shared" ref="L468" si="148">SUM(L469:L471)</f>
        <v>0</v>
      </c>
      <c r="M468" s="29">
        <f>SUM(M469:M471)</f>
        <v>14388.6</v>
      </c>
    </row>
    <row r="469" spans="1:13" s="116" customFormat="1" ht="54" customHeight="1" x14ac:dyDescent="0.35">
      <c r="A469" s="16"/>
      <c r="B469" s="497" t="s">
        <v>53</v>
      </c>
      <c r="C469" s="28" t="s">
        <v>417</v>
      </c>
      <c r="D469" s="15" t="s">
        <v>220</v>
      </c>
      <c r="E469" s="15" t="s">
        <v>38</v>
      </c>
      <c r="F469" s="676" t="s">
        <v>38</v>
      </c>
      <c r="G469" s="677" t="s">
        <v>44</v>
      </c>
      <c r="H469" s="677" t="s">
        <v>38</v>
      </c>
      <c r="I469" s="678" t="s">
        <v>505</v>
      </c>
      <c r="J469" s="15" t="s">
        <v>54</v>
      </c>
      <c r="K469" s="29">
        <v>149.9</v>
      </c>
      <c r="L469" s="29">
        <f>M469-K469</f>
        <v>0</v>
      </c>
      <c r="M469" s="29">
        <v>149.9</v>
      </c>
    </row>
    <row r="470" spans="1:13" s="116" customFormat="1" ht="36" customHeight="1" x14ac:dyDescent="0.35">
      <c r="A470" s="16"/>
      <c r="B470" s="497" t="s">
        <v>118</v>
      </c>
      <c r="C470" s="28" t="s">
        <v>417</v>
      </c>
      <c r="D470" s="15" t="s">
        <v>220</v>
      </c>
      <c r="E470" s="15" t="s">
        <v>38</v>
      </c>
      <c r="F470" s="676" t="s">
        <v>38</v>
      </c>
      <c r="G470" s="677" t="s">
        <v>44</v>
      </c>
      <c r="H470" s="677" t="s">
        <v>38</v>
      </c>
      <c r="I470" s="678" t="s">
        <v>505</v>
      </c>
      <c r="J470" s="15" t="s">
        <v>119</v>
      </c>
      <c r="K470" s="29">
        <v>97.8</v>
      </c>
      <c r="L470" s="29">
        <f>M470-K470</f>
        <v>0</v>
      </c>
      <c r="M470" s="29">
        <v>97.8</v>
      </c>
    </row>
    <row r="471" spans="1:13" s="116" customFormat="1" ht="54" customHeight="1" x14ac:dyDescent="0.35">
      <c r="A471" s="16"/>
      <c r="B471" s="497" t="s">
        <v>74</v>
      </c>
      <c r="C471" s="28" t="s">
        <v>417</v>
      </c>
      <c r="D471" s="15" t="s">
        <v>220</v>
      </c>
      <c r="E471" s="15" t="s">
        <v>38</v>
      </c>
      <c r="F471" s="676" t="s">
        <v>38</v>
      </c>
      <c r="G471" s="677" t="s">
        <v>44</v>
      </c>
      <c r="H471" s="677" t="s">
        <v>38</v>
      </c>
      <c r="I471" s="678" t="s">
        <v>505</v>
      </c>
      <c r="J471" s="15" t="s">
        <v>75</v>
      </c>
      <c r="K471" s="29">
        <v>14140.9</v>
      </c>
      <c r="L471" s="29">
        <f>M471-K471</f>
        <v>0</v>
      </c>
      <c r="M471" s="29">
        <v>14140.9</v>
      </c>
    </row>
    <row r="472" spans="1:13" s="116" customFormat="1" ht="54" customHeight="1" x14ac:dyDescent="0.35">
      <c r="A472" s="16"/>
      <c r="B472" s="497" t="s">
        <v>614</v>
      </c>
      <c r="C472" s="28" t="s">
        <v>417</v>
      </c>
      <c r="D472" s="15" t="s">
        <v>220</v>
      </c>
      <c r="E472" s="15" t="s">
        <v>38</v>
      </c>
      <c r="F472" s="676" t="s">
        <v>38</v>
      </c>
      <c r="G472" s="677" t="s">
        <v>44</v>
      </c>
      <c r="H472" s="677" t="s">
        <v>615</v>
      </c>
      <c r="I472" s="678" t="s">
        <v>43</v>
      </c>
      <c r="J472" s="15"/>
      <c r="K472" s="29">
        <f>K473</f>
        <v>5745.9</v>
      </c>
      <c r="L472" s="29">
        <f>L473</f>
        <v>0</v>
      </c>
      <c r="M472" s="29">
        <f>M473</f>
        <v>5745.9</v>
      </c>
    </row>
    <row r="473" spans="1:13" s="116" customFormat="1" ht="54" customHeight="1" x14ac:dyDescent="0.35">
      <c r="A473" s="16"/>
      <c r="B473" s="497" t="s">
        <v>616</v>
      </c>
      <c r="C473" s="28" t="s">
        <v>417</v>
      </c>
      <c r="D473" s="15" t="s">
        <v>220</v>
      </c>
      <c r="E473" s="15" t="s">
        <v>38</v>
      </c>
      <c r="F473" s="676" t="s">
        <v>38</v>
      </c>
      <c r="G473" s="677" t="s">
        <v>44</v>
      </c>
      <c r="H473" s="677" t="s">
        <v>615</v>
      </c>
      <c r="I473" s="678" t="s">
        <v>617</v>
      </c>
      <c r="J473" s="15"/>
      <c r="K473" s="29">
        <f>K474+K475</f>
        <v>5745.9</v>
      </c>
      <c r="L473" s="29">
        <f>L474+L475</f>
        <v>0</v>
      </c>
      <c r="M473" s="29">
        <f>M474+M475</f>
        <v>5745.9</v>
      </c>
    </row>
    <row r="474" spans="1:13" s="116" customFormat="1" ht="54" customHeight="1" x14ac:dyDescent="0.35">
      <c r="A474" s="16"/>
      <c r="B474" s="497" t="s">
        <v>48</v>
      </c>
      <c r="C474" s="28" t="s">
        <v>417</v>
      </c>
      <c r="D474" s="15" t="s">
        <v>220</v>
      </c>
      <c r="E474" s="15" t="s">
        <v>38</v>
      </c>
      <c r="F474" s="676" t="s">
        <v>38</v>
      </c>
      <c r="G474" s="677" t="s">
        <v>44</v>
      </c>
      <c r="H474" s="677" t="s">
        <v>615</v>
      </c>
      <c r="I474" s="678" t="s">
        <v>617</v>
      </c>
      <c r="J474" s="15" t="s">
        <v>49</v>
      </c>
      <c r="K474" s="29">
        <v>420.4</v>
      </c>
      <c r="L474" s="29">
        <f>M474-K474</f>
        <v>0</v>
      </c>
      <c r="M474" s="29">
        <v>420.4</v>
      </c>
    </row>
    <row r="475" spans="1:13" s="116" customFormat="1" ht="54" customHeight="1" x14ac:dyDescent="0.35">
      <c r="A475" s="16"/>
      <c r="B475" s="497" t="s">
        <v>74</v>
      </c>
      <c r="C475" s="28" t="s">
        <v>417</v>
      </c>
      <c r="D475" s="15" t="s">
        <v>220</v>
      </c>
      <c r="E475" s="15" t="s">
        <v>38</v>
      </c>
      <c r="F475" s="676" t="s">
        <v>38</v>
      </c>
      <c r="G475" s="677" t="s">
        <v>44</v>
      </c>
      <c r="H475" s="677" t="s">
        <v>615</v>
      </c>
      <c r="I475" s="678" t="s">
        <v>617</v>
      </c>
      <c r="J475" s="15" t="s">
        <v>75</v>
      </c>
      <c r="K475" s="29">
        <v>5325.5</v>
      </c>
      <c r="L475" s="29">
        <f>M475-K475</f>
        <v>0</v>
      </c>
      <c r="M475" s="29">
        <v>5325.5</v>
      </c>
    </row>
    <row r="476" spans="1:13" s="120" customFormat="1" ht="54" customHeight="1" x14ac:dyDescent="0.35">
      <c r="A476" s="16"/>
      <c r="B476" s="497" t="s">
        <v>209</v>
      </c>
      <c r="C476" s="28" t="s">
        <v>417</v>
      </c>
      <c r="D476" s="15" t="s">
        <v>220</v>
      </c>
      <c r="E476" s="15" t="s">
        <v>38</v>
      </c>
      <c r="F476" s="676" t="s">
        <v>38</v>
      </c>
      <c r="G476" s="677" t="s">
        <v>29</v>
      </c>
      <c r="H476" s="677" t="s">
        <v>42</v>
      </c>
      <c r="I476" s="678" t="s">
        <v>43</v>
      </c>
      <c r="J476" s="15"/>
      <c r="K476" s="29">
        <f t="shared" ref="K476:M478" si="149">K477</f>
        <v>2379.1</v>
      </c>
      <c r="L476" s="29">
        <f t="shared" si="149"/>
        <v>0</v>
      </c>
      <c r="M476" s="29">
        <f t="shared" si="149"/>
        <v>2379.1</v>
      </c>
    </row>
    <row r="477" spans="1:13" s="120" customFormat="1" ht="36" customHeight="1" x14ac:dyDescent="0.35">
      <c r="A477" s="16"/>
      <c r="B477" s="497" t="s">
        <v>278</v>
      </c>
      <c r="C477" s="28" t="s">
        <v>417</v>
      </c>
      <c r="D477" s="15" t="s">
        <v>220</v>
      </c>
      <c r="E477" s="15" t="s">
        <v>38</v>
      </c>
      <c r="F477" s="676" t="s">
        <v>38</v>
      </c>
      <c r="G477" s="677" t="s">
        <v>29</v>
      </c>
      <c r="H477" s="677" t="s">
        <v>36</v>
      </c>
      <c r="I477" s="678" t="s">
        <v>43</v>
      </c>
      <c r="J477" s="15"/>
      <c r="K477" s="29">
        <f t="shared" si="149"/>
        <v>2379.1</v>
      </c>
      <c r="L477" s="29">
        <f t="shared" si="149"/>
        <v>0</v>
      </c>
      <c r="M477" s="29">
        <f t="shared" si="149"/>
        <v>2379.1</v>
      </c>
    </row>
    <row r="478" spans="1:13" s="120" customFormat="1" ht="252" customHeight="1" x14ac:dyDescent="0.35">
      <c r="A478" s="16"/>
      <c r="B478" s="497" t="s">
        <v>425</v>
      </c>
      <c r="C478" s="28" t="s">
        <v>417</v>
      </c>
      <c r="D478" s="15" t="s">
        <v>220</v>
      </c>
      <c r="E478" s="15" t="s">
        <v>38</v>
      </c>
      <c r="F478" s="676" t="s">
        <v>38</v>
      </c>
      <c r="G478" s="677" t="s">
        <v>29</v>
      </c>
      <c r="H478" s="677" t="s">
        <v>36</v>
      </c>
      <c r="I478" s="678" t="s">
        <v>342</v>
      </c>
      <c r="J478" s="15"/>
      <c r="K478" s="29">
        <f>K479</f>
        <v>2379.1</v>
      </c>
      <c r="L478" s="29">
        <f t="shared" si="149"/>
        <v>0</v>
      </c>
      <c r="M478" s="29">
        <f>M479</f>
        <v>2379.1</v>
      </c>
    </row>
    <row r="479" spans="1:13" s="120" customFormat="1" ht="54" customHeight="1" x14ac:dyDescent="0.35">
      <c r="A479" s="16"/>
      <c r="B479" s="497" t="s">
        <v>74</v>
      </c>
      <c r="C479" s="28" t="s">
        <v>417</v>
      </c>
      <c r="D479" s="15" t="s">
        <v>220</v>
      </c>
      <c r="E479" s="15" t="s">
        <v>38</v>
      </c>
      <c r="F479" s="676" t="s">
        <v>38</v>
      </c>
      <c r="G479" s="677" t="s">
        <v>29</v>
      </c>
      <c r="H479" s="677" t="s">
        <v>36</v>
      </c>
      <c r="I479" s="678" t="s">
        <v>342</v>
      </c>
      <c r="J479" s="15" t="s">
        <v>75</v>
      </c>
      <c r="K479" s="29">
        <v>2379.1</v>
      </c>
      <c r="L479" s="29">
        <f>M479-K479</f>
        <v>0</v>
      </c>
      <c r="M479" s="29">
        <v>2379.1</v>
      </c>
    </row>
    <row r="480" spans="1:13" s="120" customFormat="1" ht="18" customHeight="1" x14ac:dyDescent="0.35">
      <c r="A480" s="16"/>
      <c r="B480" s="497" t="s">
        <v>345</v>
      </c>
      <c r="C480" s="28" t="s">
        <v>417</v>
      </c>
      <c r="D480" s="15" t="s">
        <v>220</v>
      </c>
      <c r="E480" s="15" t="s">
        <v>61</v>
      </c>
      <c r="F480" s="676"/>
      <c r="G480" s="677"/>
      <c r="H480" s="677"/>
      <c r="I480" s="678"/>
      <c r="J480" s="15"/>
      <c r="K480" s="29">
        <f>K481</f>
        <v>65815.199999999997</v>
      </c>
      <c r="L480" s="29">
        <f t="shared" ref="L480" si="150">L481</f>
        <v>1673.8000000000029</v>
      </c>
      <c r="M480" s="29">
        <f>M481</f>
        <v>67489</v>
      </c>
    </row>
    <row r="481" spans="1:13" s="120" customFormat="1" ht="54" customHeight="1" x14ac:dyDescent="0.35">
      <c r="A481" s="16"/>
      <c r="B481" s="564" t="s">
        <v>202</v>
      </c>
      <c r="C481" s="28" t="s">
        <v>417</v>
      </c>
      <c r="D481" s="15" t="s">
        <v>220</v>
      </c>
      <c r="E481" s="15" t="s">
        <v>61</v>
      </c>
      <c r="F481" s="676" t="s">
        <v>38</v>
      </c>
      <c r="G481" s="677" t="s">
        <v>41</v>
      </c>
      <c r="H481" s="677" t="s">
        <v>42</v>
      </c>
      <c r="I481" s="678" t="s">
        <v>43</v>
      </c>
      <c r="J481" s="15"/>
      <c r="K481" s="29">
        <f t="shared" ref="K481:M482" si="151">K482</f>
        <v>65815.199999999997</v>
      </c>
      <c r="L481" s="29">
        <f t="shared" si="151"/>
        <v>1673.8000000000029</v>
      </c>
      <c r="M481" s="29">
        <f t="shared" si="151"/>
        <v>67489</v>
      </c>
    </row>
    <row r="482" spans="1:13" s="120" customFormat="1" ht="18" customHeight="1" x14ac:dyDescent="0.35">
      <c r="A482" s="16"/>
      <c r="B482" s="497" t="s">
        <v>207</v>
      </c>
      <c r="C482" s="28" t="s">
        <v>417</v>
      </c>
      <c r="D482" s="15" t="s">
        <v>220</v>
      </c>
      <c r="E482" s="15" t="s">
        <v>61</v>
      </c>
      <c r="F482" s="676" t="s">
        <v>38</v>
      </c>
      <c r="G482" s="677" t="s">
        <v>87</v>
      </c>
      <c r="H482" s="677" t="s">
        <v>42</v>
      </c>
      <c r="I482" s="678" t="s">
        <v>43</v>
      </c>
      <c r="J482" s="15"/>
      <c r="K482" s="29">
        <f t="shared" si="151"/>
        <v>65815.199999999997</v>
      </c>
      <c r="L482" s="29">
        <f t="shared" si="151"/>
        <v>1673.8000000000029</v>
      </c>
      <c r="M482" s="29">
        <f t="shared" si="151"/>
        <v>67489</v>
      </c>
    </row>
    <row r="483" spans="1:13" s="120" customFormat="1" ht="36" customHeight="1" x14ac:dyDescent="0.35">
      <c r="A483" s="16"/>
      <c r="B483" s="497" t="s">
        <v>272</v>
      </c>
      <c r="C483" s="28" t="s">
        <v>417</v>
      </c>
      <c r="D483" s="15" t="s">
        <v>220</v>
      </c>
      <c r="E483" s="15" t="s">
        <v>61</v>
      </c>
      <c r="F483" s="676" t="s">
        <v>38</v>
      </c>
      <c r="G483" s="677" t="s">
        <v>87</v>
      </c>
      <c r="H483" s="677" t="s">
        <v>36</v>
      </c>
      <c r="I483" s="678" t="s">
        <v>43</v>
      </c>
      <c r="J483" s="15"/>
      <c r="K483" s="29">
        <f>K484+K495+K488+K497+K490+K486+K492</f>
        <v>65815.199999999997</v>
      </c>
      <c r="L483" s="29">
        <f>L484+L495+L488+L497+L490+L486</f>
        <v>1673.8000000000029</v>
      </c>
      <c r="M483" s="29">
        <f>M484+M495+M488+M497+M490+M486+M492</f>
        <v>67489</v>
      </c>
    </row>
    <row r="484" spans="1:13" s="120" customFormat="1" ht="36" customHeight="1" x14ac:dyDescent="0.35">
      <c r="A484" s="16"/>
      <c r="B484" s="529" t="s">
        <v>454</v>
      </c>
      <c r="C484" s="28" t="s">
        <v>417</v>
      </c>
      <c r="D484" s="15" t="s">
        <v>220</v>
      </c>
      <c r="E484" s="15" t="s">
        <v>61</v>
      </c>
      <c r="F484" s="676" t="s">
        <v>38</v>
      </c>
      <c r="G484" s="677" t="s">
        <v>87</v>
      </c>
      <c r="H484" s="677" t="s">
        <v>36</v>
      </c>
      <c r="I484" s="678" t="s">
        <v>89</v>
      </c>
      <c r="J484" s="15"/>
      <c r="K484" s="29">
        <f>K485</f>
        <v>40696.6</v>
      </c>
      <c r="L484" s="29">
        <f>L485</f>
        <v>1088.8000000000029</v>
      </c>
      <c r="M484" s="29">
        <f>M485</f>
        <v>41785.4</v>
      </c>
    </row>
    <row r="485" spans="1:13" s="120" customFormat="1" ht="54" customHeight="1" x14ac:dyDescent="0.35">
      <c r="A485" s="16"/>
      <c r="B485" s="497" t="s">
        <v>74</v>
      </c>
      <c r="C485" s="28" t="s">
        <v>417</v>
      </c>
      <c r="D485" s="15" t="s">
        <v>220</v>
      </c>
      <c r="E485" s="15" t="s">
        <v>61</v>
      </c>
      <c r="F485" s="676" t="s">
        <v>38</v>
      </c>
      <c r="G485" s="677" t="s">
        <v>87</v>
      </c>
      <c r="H485" s="677" t="s">
        <v>36</v>
      </c>
      <c r="I485" s="678" t="s">
        <v>89</v>
      </c>
      <c r="J485" s="15" t="s">
        <v>75</v>
      </c>
      <c r="K485" s="29">
        <v>40696.6</v>
      </c>
      <c r="L485" s="29">
        <f>M485-K485</f>
        <v>1088.8000000000029</v>
      </c>
      <c r="M485" s="29">
        <f>40696.6+1088.8</f>
        <v>41785.4</v>
      </c>
    </row>
    <row r="486" spans="1:13" s="120" customFormat="1" ht="18" customHeight="1" x14ac:dyDescent="0.35">
      <c r="A486" s="16"/>
      <c r="B486" s="497" t="s">
        <v>455</v>
      </c>
      <c r="C486" s="28" t="s">
        <v>417</v>
      </c>
      <c r="D486" s="15" t="s">
        <v>220</v>
      </c>
      <c r="E486" s="15" t="s">
        <v>61</v>
      </c>
      <c r="F486" s="676" t="s">
        <v>38</v>
      </c>
      <c r="G486" s="677" t="s">
        <v>87</v>
      </c>
      <c r="H486" s="677" t="s">
        <v>36</v>
      </c>
      <c r="I486" s="678" t="s">
        <v>376</v>
      </c>
      <c r="J486" s="15"/>
      <c r="K486" s="29">
        <f>K487</f>
        <v>972.4</v>
      </c>
      <c r="L486" s="29">
        <f t="shared" ref="L486" si="152">L487</f>
        <v>0</v>
      </c>
      <c r="M486" s="29">
        <f>M487</f>
        <v>972.4</v>
      </c>
    </row>
    <row r="487" spans="1:13" s="120" customFormat="1" ht="54" customHeight="1" x14ac:dyDescent="0.35">
      <c r="A487" s="16"/>
      <c r="B487" s="497" t="s">
        <v>74</v>
      </c>
      <c r="C487" s="28" t="s">
        <v>417</v>
      </c>
      <c r="D487" s="15" t="s">
        <v>220</v>
      </c>
      <c r="E487" s="15" t="s">
        <v>61</v>
      </c>
      <c r="F487" s="676" t="s">
        <v>38</v>
      </c>
      <c r="G487" s="677" t="s">
        <v>87</v>
      </c>
      <c r="H487" s="677" t="s">
        <v>36</v>
      </c>
      <c r="I487" s="678" t="s">
        <v>376</v>
      </c>
      <c r="J487" s="15" t="s">
        <v>75</v>
      </c>
      <c r="K487" s="29">
        <v>972.4</v>
      </c>
      <c r="L487" s="29">
        <f>M487-K487</f>
        <v>0</v>
      </c>
      <c r="M487" s="29">
        <v>972.4</v>
      </c>
    </row>
    <row r="488" spans="1:13" s="120" customFormat="1" ht="54" customHeight="1" x14ac:dyDescent="0.35">
      <c r="A488" s="16"/>
      <c r="B488" s="497" t="s">
        <v>204</v>
      </c>
      <c r="C488" s="28" t="s">
        <v>417</v>
      </c>
      <c r="D488" s="15" t="s">
        <v>220</v>
      </c>
      <c r="E488" s="15" t="s">
        <v>61</v>
      </c>
      <c r="F488" s="676" t="s">
        <v>38</v>
      </c>
      <c r="G488" s="677" t="s">
        <v>87</v>
      </c>
      <c r="H488" s="677" t="s">
        <v>36</v>
      </c>
      <c r="I488" s="678" t="s">
        <v>269</v>
      </c>
      <c r="J488" s="15"/>
      <c r="K488" s="29">
        <f>K489</f>
        <v>4638</v>
      </c>
      <c r="L488" s="29">
        <f>L489</f>
        <v>0</v>
      </c>
      <c r="M488" s="29">
        <f>M489</f>
        <v>4638</v>
      </c>
    </row>
    <row r="489" spans="1:13" s="120" customFormat="1" ht="54" customHeight="1" x14ac:dyDescent="0.35">
      <c r="A489" s="16"/>
      <c r="B489" s="564" t="s">
        <v>74</v>
      </c>
      <c r="C489" s="28" t="s">
        <v>417</v>
      </c>
      <c r="D489" s="15" t="s">
        <v>220</v>
      </c>
      <c r="E489" s="15" t="s">
        <v>61</v>
      </c>
      <c r="F489" s="676" t="s">
        <v>38</v>
      </c>
      <c r="G489" s="677" t="s">
        <v>87</v>
      </c>
      <c r="H489" s="677" t="s">
        <v>36</v>
      </c>
      <c r="I489" s="678" t="s">
        <v>269</v>
      </c>
      <c r="J489" s="15" t="s">
        <v>75</v>
      </c>
      <c r="K489" s="29">
        <f>4392+246</f>
        <v>4638</v>
      </c>
      <c r="L489" s="29">
        <f>M489-K489</f>
        <v>0</v>
      </c>
      <c r="M489" s="29">
        <f>4392+246</f>
        <v>4638</v>
      </c>
    </row>
    <row r="490" spans="1:13" s="120" customFormat="1" ht="36" customHeight="1" x14ac:dyDescent="0.35">
      <c r="A490" s="16"/>
      <c r="B490" s="497" t="s">
        <v>205</v>
      </c>
      <c r="C490" s="28" t="s">
        <v>417</v>
      </c>
      <c r="D490" s="15" t="s">
        <v>220</v>
      </c>
      <c r="E490" s="15" t="s">
        <v>61</v>
      </c>
      <c r="F490" s="676" t="s">
        <v>38</v>
      </c>
      <c r="G490" s="677" t="s">
        <v>87</v>
      </c>
      <c r="H490" s="677" t="s">
        <v>36</v>
      </c>
      <c r="I490" s="678" t="s">
        <v>270</v>
      </c>
      <c r="J490" s="15"/>
      <c r="K490" s="29">
        <f>K491</f>
        <v>272.39999999999998</v>
      </c>
      <c r="L490" s="29">
        <f t="shared" ref="L490" si="153">L491</f>
        <v>585</v>
      </c>
      <c r="M490" s="29">
        <f>M491</f>
        <v>857.4</v>
      </c>
    </row>
    <row r="491" spans="1:13" s="120" customFormat="1" ht="54" customHeight="1" x14ac:dyDescent="0.35">
      <c r="A491" s="16"/>
      <c r="B491" s="564" t="s">
        <v>74</v>
      </c>
      <c r="C491" s="28" t="s">
        <v>417</v>
      </c>
      <c r="D491" s="15" t="s">
        <v>220</v>
      </c>
      <c r="E491" s="15" t="s">
        <v>61</v>
      </c>
      <c r="F491" s="676" t="s">
        <v>38</v>
      </c>
      <c r="G491" s="677" t="s">
        <v>87</v>
      </c>
      <c r="H491" s="677" t="s">
        <v>36</v>
      </c>
      <c r="I491" s="678" t="s">
        <v>270</v>
      </c>
      <c r="J491" s="15" t="s">
        <v>75</v>
      </c>
      <c r="K491" s="29">
        <v>272.39999999999998</v>
      </c>
      <c r="L491" s="29">
        <f>M491-K491</f>
        <v>585</v>
      </c>
      <c r="M491" s="29">
        <f>272.4+585</f>
        <v>857.4</v>
      </c>
    </row>
    <row r="492" spans="1:13" s="120" customFormat="1" ht="54" customHeight="1" x14ac:dyDescent="0.35">
      <c r="A492" s="16"/>
      <c r="B492" s="564" t="s">
        <v>624</v>
      </c>
      <c r="C492" s="28" t="s">
        <v>417</v>
      </c>
      <c r="D492" s="15" t="s">
        <v>220</v>
      </c>
      <c r="E492" s="15" t="s">
        <v>61</v>
      </c>
      <c r="F492" s="676" t="s">
        <v>38</v>
      </c>
      <c r="G492" s="677" t="s">
        <v>87</v>
      </c>
      <c r="H492" s="677" t="s">
        <v>36</v>
      </c>
      <c r="I492" s="678" t="s">
        <v>625</v>
      </c>
      <c r="J492" s="15"/>
      <c r="K492" s="29">
        <f>K493+K494</f>
        <v>6127.4999999999991</v>
      </c>
      <c r="L492" s="29">
        <f>L493</f>
        <v>0</v>
      </c>
      <c r="M492" s="29">
        <f>M493+M494</f>
        <v>6127.4999999999991</v>
      </c>
    </row>
    <row r="493" spans="1:13" s="120" customFormat="1" ht="54" customHeight="1" x14ac:dyDescent="0.35">
      <c r="A493" s="16"/>
      <c r="B493" s="564" t="s">
        <v>74</v>
      </c>
      <c r="C493" s="28" t="s">
        <v>417</v>
      </c>
      <c r="D493" s="15" t="s">
        <v>220</v>
      </c>
      <c r="E493" s="15" t="s">
        <v>61</v>
      </c>
      <c r="F493" s="676" t="s">
        <v>38</v>
      </c>
      <c r="G493" s="677" t="s">
        <v>87</v>
      </c>
      <c r="H493" s="677" t="s">
        <v>36</v>
      </c>
      <c r="I493" s="678" t="s">
        <v>625</v>
      </c>
      <c r="J493" s="15" t="s">
        <v>75</v>
      </c>
      <c r="K493" s="29">
        <v>6072.5999999999995</v>
      </c>
      <c r="L493" s="29">
        <f t="shared" ref="L493:L494" si="154">M493-K493</f>
        <v>0</v>
      </c>
      <c r="M493" s="29">
        <v>6072.5999999999995</v>
      </c>
    </row>
    <row r="494" spans="1:13" s="120" customFormat="1" ht="18" x14ac:dyDescent="0.35">
      <c r="A494" s="16"/>
      <c r="B494" s="564" t="s">
        <v>55</v>
      </c>
      <c r="C494" s="28" t="s">
        <v>417</v>
      </c>
      <c r="D494" s="15" t="s">
        <v>220</v>
      </c>
      <c r="E494" s="15" t="s">
        <v>61</v>
      </c>
      <c r="F494" s="676" t="s">
        <v>38</v>
      </c>
      <c r="G494" s="677" t="s">
        <v>87</v>
      </c>
      <c r="H494" s="677" t="s">
        <v>36</v>
      </c>
      <c r="I494" s="678" t="s">
        <v>625</v>
      </c>
      <c r="J494" s="15" t="s">
        <v>56</v>
      </c>
      <c r="K494" s="29">
        <v>54.9</v>
      </c>
      <c r="L494" s="29">
        <f t="shared" si="154"/>
        <v>0</v>
      </c>
      <c r="M494" s="29">
        <v>54.9</v>
      </c>
    </row>
    <row r="495" spans="1:13" s="120" customFormat="1" ht="180" customHeight="1" x14ac:dyDescent="0.35">
      <c r="A495" s="16"/>
      <c r="B495" s="497" t="s">
        <v>264</v>
      </c>
      <c r="C495" s="28" t="s">
        <v>417</v>
      </c>
      <c r="D495" s="15" t="s">
        <v>220</v>
      </c>
      <c r="E495" s="15" t="s">
        <v>61</v>
      </c>
      <c r="F495" s="676" t="s">
        <v>38</v>
      </c>
      <c r="G495" s="677" t="s">
        <v>87</v>
      </c>
      <c r="H495" s="677" t="s">
        <v>36</v>
      </c>
      <c r="I495" s="678" t="s">
        <v>265</v>
      </c>
      <c r="J495" s="15"/>
      <c r="K495" s="29">
        <f>K496</f>
        <v>108.3</v>
      </c>
      <c r="L495" s="29">
        <f t="shared" ref="L495" si="155">L496</f>
        <v>0</v>
      </c>
      <c r="M495" s="29">
        <f>M496</f>
        <v>108.3</v>
      </c>
    </row>
    <row r="496" spans="1:13" s="120" customFormat="1" ht="54" customHeight="1" x14ac:dyDescent="0.35">
      <c r="A496" s="16"/>
      <c r="B496" s="497" t="s">
        <v>74</v>
      </c>
      <c r="C496" s="28" t="s">
        <v>417</v>
      </c>
      <c r="D496" s="15" t="s">
        <v>220</v>
      </c>
      <c r="E496" s="15" t="s">
        <v>61</v>
      </c>
      <c r="F496" s="676" t="s">
        <v>38</v>
      </c>
      <c r="G496" s="677" t="s">
        <v>87</v>
      </c>
      <c r="H496" s="677" t="s">
        <v>36</v>
      </c>
      <c r="I496" s="678" t="s">
        <v>265</v>
      </c>
      <c r="J496" s="15" t="s">
        <v>75</v>
      </c>
      <c r="K496" s="29">
        <v>108.3</v>
      </c>
      <c r="L496" s="29">
        <f>M496-K496</f>
        <v>0</v>
      </c>
      <c r="M496" s="29">
        <v>108.3</v>
      </c>
    </row>
    <row r="497" spans="1:13" s="120" customFormat="1" ht="108" customHeight="1" x14ac:dyDescent="0.35">
      <c r="A497" s="16"/>
      <c r="B497" s="497" t="s">
        <v>341</v>
      </c>
      <c r="C497" s="28" t="s">
        <v>417</v>
      </c>
      <c r="D497" s="15" t="s">
        <v>220</v>
      </c>
      <c r="E497" s="15" t="s">
        <v>61</v>
      </c>
      <c r="F497" s="676" t="s">
        <v>38</v>
      </c>
      <c r="G497" s="677" t="s">
        <v>87</v>
      </c>
      <c r="H497" s="677" t="s">
        <v>36</v>
      </c>
      <c r="I497" s="678" t="s">
        <v>266</v>
      </c>
      <c r="J497" s="15"/>
      <c r="K497" s="29">
        <f>K499+K498</f>
        <v>13000</v>
      </c>
      <c r="L497" s="29">
        <f t="shared" ref="L497" si="156">L499+L498</f>
        <v>0</v>
      </c>
      <c r="M497" s="29">
        <f>M499+M498</f>
        <v>13000</v>
      </c>
    </row>
    <row r="498" spans="1:13" s="120" customFormat="1" ht="108" x14ac:dyDescent="0.35">
      <c r="A498" s="16"/>
      <c r="B498" s="497" t="s">
        <v>48</v>
      </c>
      <c r="C498" s="28" t="s">
        <v>417</v>
      </c>
      <c r="D498" s="15" t="s">
        <v>220</v>
      </c>
      <c r="E498" s="15" t="s">
        <v>61</v>
      </c>
      <c r="F498" s="676" t="s">
        <v>38</v>
      </c>
      <c r="G498" s="677" t="s">
        <v>87</v>
      </c>
      <c r="H498" s="677" t="s">
        <v>36</v>
      </c>
      <c r="I498" s="678" t="s">
        <v>266</v>
      </c>
      <c r="J498" s="15" t="s">
        <v>49</v>
      </c>
      <c r="K498" s="29">
        <v>900</v>
      </c>
      <c r="L498" s="29">
        <f>M498-K498</f>
        <v>0</v>
      </c>
      <c r="M498" s="29">
        <v>900</v>
      </c>
    </row>
    <row r="499" spans="1:13" s="120" customFormat="1" ht="54" customHeight="1" x14ac:dyDescent="0.35">
      <c r="A499" s="16"/>
      <c r="B499" s="497" t="s">
        <v>74</v>
      </c>
      <c r="C499" s="28" t="s">
        <v>417</v>
      </c>
      <c r="D499" s="15" t="s">
        <v>220</v>
      </c>
      <c r="E499" s="15" t="s">
        <v>61</v>
      </c>
      <c r="F499" s="676" t="s">
        <v>38</v>
      </c>
      <c r="G499" s="677" t="s">
        <v>87</v>
      </c>
      <c r="H499" s="677" t="s">
        <v>36</v>
      </c>
      <c r="I499" s="678" t="s">
        <v>266</v>
      </c>
      <c r="J499" s="15" t="s">
        <v>75</v>
      </c>
      <c r="K499" s="29">
        <v>12100</v>
      </c>
      <c r="L499" s="29">
        <f>M499-K499</f>
        <v>0</v>
      </c>
      <c r="M499" s="29">
        <v>12100</v>
      </c>
    </row>
    <row r="500" spans="1:13" s="120" customFormat="1" ht="54" customHeight="1" x14ac:dyDescent="0.35">
      <c r="A500" s="16"/>
      <c r="B500" s="497" t="s">
        <v>494</v>
      </c>
      <c r="C500" s="216" t="s">
        <v>417</v>
      </c>
      <c r="D500" s="33" t="s">
        <v>220</v>
      </c>
      <c r="E500" s="33" t="s">
        <v>63</v>
      </c>
      <c r="F500" s="78"/>
      <c r="G500" s="78"/>
      <c r="H500" s="78"/>
      <c r="I500" s="78"/>
      <c r="J500" s="15"/>
      <c r="K500" s="211">
        <f>K501</f>
        <v>4.5</v>
      </c>
      <c r="L500" s="211">
        <f t="shared" ref="L500:L501" si="157">L501</f>
        <v>0</v>
      </c>
      <c r="M500" s="211">
        <f>M501</f>
        <v>4.5</v>
      </c>
    </row>
    <row r="501" spans="1:13" s="120" customFormat="1" ht="54" customHeight="1" x14ac:dyDescent="0.35">
      <c r="A501" s="16"/>
      <c r="B501" s="497" t="s">
        <v>202</v>
      </c>
      <c r="C501" s="216" t="s">
        <v>417</v>
      </c>
      <c r="D501" s="33" t="s">
        <v>220</v>
      </c>
      <c r="E501" s="33" t="s">
        <v>63</v>
      </c>
      <c r="F501" s="97" t="s">
        <v>38</v>
      </c>
      <c r="G501" s="87" t="s">
        <v>41</v>
      </c>
      <c r="H501" s="87" t="s">
        <v>42</v>
      </c>
      <c r="I501" s="88" t="s">
        <v>43</v>
      </c>
      <c r="J501" s="577"/>
      <c r="K501" s="29">
        <f>K502</f>
        <v>4.5</v>
      </c>
      <c r="L501" s="29">
        <f t="shared" si="157"/>
        <v>0</v>
      </c>
      <c r="M501" s="29">
        <f>M502</f>
        <v>4.5</v>
      </c>
    </row>
    <row r="502" spans="1:13" s="120" customFormat="1" ht="54" customHeight="1" x14ac:dyDescent="0.35">
      <c r="A502" s="16"/>
      <c r="B502" s="497" t="s">
        <v>209</v>
      </c>
      <c r="C502" s="216" t="s">
        <v>417</v>
      </c>
      <c r="D502" s="33" t="s">
        <v>220</v>
      </c>
      <c r="E502" s="33" t="s">
        <v>63</v>
      </c>
      <c r="F502" s="97" t="s">
        <v>38</v>
      </c>
      <c r="G502" s="87" t="s">
        <v>29</v>
      </c>
      <c r="H502" s="87" t="s">
        <v>42</v>
      </c>
      <c r="I502" s="88" t="s">
        <v>43</v>
      </c>
      <c r="J502" s="89"/>
      <c r="K502" s="211">
        <f t="shared" ref="K502:M504" si="158">K503</f>
        <v>4.5</v>
      </c>
      <c r="L502" s="211">
        <f t="shared" si="158"/>
        <v>0</v>
      </c>
      <c r="M502" s="211">
        <f t="shared" si="158"/>
        <v>4.5</v>
      </c>
    </row>
    <row r="503" spans="1:13" s="120" customFormat="1" ht="36" x14ac:dyDescent="0.35">
      <c r="A503" s="16"/>
      <c r="B503" s="497" t="s">
        <v>278</v>
      </c>
      <c r="C503" s="216" t="s">
        <v>417</v>
      </c>
      <c r="D503" s="33" t="s">
        <v>220</v>
      </c>
      <c r="E503" s="33" t="s">
        <v>63</v>
      </c>
      <c r="F503" s="97" t="s">
        <v>38</v>
      </c>
      <c r="G503" s="87" t="s">
        <v>29</v>
      </c>
      <c r="H503" s="87" t="s">
        <v>36</v>
      </c>
      <c r="I503" s="88" t="s">
        <v>43</v>
      </c>
      <c r="J503" s="89"/>
      <c r="K503" s="211">
        <f t="shared" si="158"/>
        <v>4.5</v>
      </c>
      <c r="L503" s="211">
        <f t="shared" si="158"/>
        <v>0</v>
      </c>
      <c r="M503" s="211">
        <f t="shared" si="158"/>
        <v>4.5</v>
      </c>
    </row>
    <row r="504" spans="1:13" s="120" customFormat="1" ht="36" x14ac:dyDescent="0.35">
      <c r="A504" s="16"/>
      <c r="B504" s="529" t="s">
        <v>496</v>
      </c>
      <c r="C504" s="28" t="s">
        <v>417</v>
      </c>
      <c r="D504" s="15" t="s">
        <v>220</v>
      </c>
      <c r="E504" s="15" t="s">
        <v>63</v>
      </c>
      <c r="F504" s="97" t="s">
        <v>38</v>
      </c>
      <c r="G504" s="87" t="s">
        <v>29</v>
      </c>
      <c r="H504" s="87" t="s">
        <v>36</v>
      </c>
      <c r="I504" s="88" t="s">
        <v>495</v>
      </c>
      <c r="J504" s="89"/>
      <c r="K504" s="29">
        <f t="shared" si="158"/>
        <v>4.5</v>
      </c>
      <c r="L504" s="29">
        <f t="shared" si="158"/>
        <v>0</v>
      </c>
      <c r="M504" s="29">
        <f t="shared" si="158"/>
        <v>4.5</v>
      </c>
    </row>
    <row r="505" spans="1:13" s="120" customFormat="1" ht="54" customHeight="1" x14ac:dyDescent="0.35">
      <c r="A505" s="16"/>
      <c r="B505" s="497" t="s">
        <v>53</v>
      </c>
      <c r="C505" s="28" t="s">
        <v>417</v>
      </c>
      <c r="D505" s="15" t="s">
        <v>220</v>
      </c>
      <c r="E505" s="15" t="s">
        <v>63</v>
      </c>
      <c r="F505" s="140" t="s">
        <v>38</v>
      </c>
      <c r="G505" s="138" t="s">
        <v>29</v>
      </c>
      <c r="H505" s="138" t="s">
        <v>36</v>
      </c>
      <c r="I505" s="139" t="s">
        <v>495</v>
      </c>
      <c r="J505" s="474" t="s">
        <v>54</v>
      </c>
      <c r="K505" s="29">
        <v>4.5</v>
      </c>
      <c r="L505" s="29">
        <f>M505-K505</f>
        <v>0</v>
      </c>
      <c r="M505" s="29">
        <v>4.5</v>
      </c>
    </row>
    <row r="506" spans="1:13" s="120" customFormat="1" ht="18" customHeight="1" x14ac:dyDescent="0.35">
      <c r="A506" s="16"/>
      <c r="B506" s="497" t="s">
        <v>183</v>
      </c>
      <c r="C506" s="28" t="s">
        <v>417</v>
      </c>
      <c r="D506" s="15" t="s">
        <v>220</v>
      </c>
      <c r="E506" s="15" t="s">
        <v>77</v>
      </c>
      <c r="F506" s="676"/>
      <c r="G506" s="677"/>
      <c r="H506" s="677"/>
      <c r="I506" s="678"/>
      <c r="J506" s="15"/>
      <c r="K506" s="29">
        <f>K507</f>
        <v>97778.550000000017</v>
      </c>
      <c r="L506" s="29">
        <f t="shared" ref="L506" si="159">L507</f>
        <v>2703.6</v>
      </c>
      <c r="M506" s="29">
        <f>M507</f>
        <v>100482.15000000002</v>
      </c>
    </row>
    <row r="507" spans="1:13" s="120" customFormat="1" ht="54" customHeight="1" x14ac:dyDescent="0.35">
      <c r="A507" s="16"/>
      <c r="B507" s="497" t="s">
        <v>202</v>
      </c>
      <c r="C507" s="28" t="s">
        <v>417</v>
      </c>
      <c r="D507" s="15" t="s">
        <v>220</v>
      </c>
      <c r="E507" s="15" t="s">
        <v>77</v>
      </c>
      <c r="F507" s="676" t="s">
        <v>38</v>
      </c>
      <c r="G507" s="677" t="s">
        <v>41</v>
      </c>
      <c r="H507" s="677" t="s">
        <v>42</v>
      </c>
      <c r="I507" s="678" t="s">
        <v>43</v>
      </c>
      <c r="J507" s="15"/>
      <c r="K507" s="29">
        <f>K512+K508</f>
        <v>97778.550000000017</v>
      </c>
      <c r="L507" s="29">
        <f t="shared" ref="L507" si="160">L512+L508</f>
        <v>2703.6</v>
      </c>
      <c r="M507" s="29">
        <f>M512+M508</f>
        <v>100482.15000000002</v>
      </c>
    </row>
    <row r="508" spans="1:13" s="120" customFormat="1" ht="18" customHeight="1" x14ac:dyDescent="0.35">
      <c r="A508" s="16"/>
      <c r="B508" s="497" t="s">
        <v>207</v>
      </c>
      <c r="C508" s="28" t="s">
        <v>417</v>
      </c>
      <c r="D508" s="15" t="s">
        <v>220</v>
      </c>
      <c r="E508" s="15" t="s">
        <v>77</v>
      </c>
      <c r="F508" s="676" t="s">
        <v>38</v>
      </c>
      <c r="G508" s="677" t="s">
        <v>87</v>
      </c>
      <c r="H508" s="677" t="s">
        <v>42</v>
      </c>
      <c r="I508" s="678" t="s">
        <v>43</v>
      </c>
      <c r="J508" s="15"/>
      <c r="K508" s="29">
        <f t="shared" ref="K508:M510" si="161">K509</f>
        <v>54</v>
      </c>
      <c r="L508" s="29">
        <f t="shared" si="161"/>
        <v>0</v>
      </c>
      <c r="M508" s="29">
        <f t="shared" si="161"/>
        <v>54</v>
      </c>
    </row>
    <row r="509" spans="1:13" s="120" customFormat="1" ht="18" customHeight="1" x14ac:dyDescent="0.35">
      <c r="A509" s="16"/>
      <c r="B509" s="497" t="s">
        <v>273</v>
      </c>
      <c r="C509" s="28" t="s">
        <v>417</v>
      </c>
      <c r="D509" s="15" t="s">
        <v>220</v>
      </c>
      <c r="E509" s="15" t="s">
        <v>77</v>
      </c>
      <c r="F509" s="676" t="s">
        <v>38</v>
      </c>
      <c r="G509" s="677" t="s">
        <v>87</v>
      </c>
      <c r="H509" s="677" t="s">
        <v>38</v>
      </c>
      <c r="I509" s="678" t="s">
        <v>43</v>
      </c>
      <c r="J509" s="15"/>
      <c r="K509" s="29">
        <f t="shared" si="161"/>
        <v>54</v>
      </c>
      <c r="L509" s="29">
        <f t="shared" si="161"/>
        <v>0</v>
      </c>
      <c r="M509" s="29">
        <f t="shared" si="161"/>
        <v>54</v>
      </c>
    </row>
    <row r="510" spans="1:13" s="120" customFormat="1" ht="36" customHeight="1" x14ac:dyDescent="0.35">
      <c r="A510" s="16"/>
      <c r="B510" s="497" t="s">
        <v>274</v>
      </c>
      <c r="C510" s="28" t="s">
        <v>417</v>
      </c>
      <c r="D510" s="15" t="s">
        <v>220</v>
      </c>
      <c r="E510" s="15" t="s">
        <v>77</v>
      </c>
      <c r="F510" s="676" t="s">
        <v>38</v>
      </c>
      <c r="G510" s="677" t="s">
        <v>87</v>
      </c>
      <c r="H510" s="677" t="s">
        <v>38</v>
      </c>
      <c r="I510" s="678" t="s">
        <v>275</v>
      </c>
      <c r="J510" s="15"/>
      <c r="K510" s="29">
        <f t="shared" si="161"/>
        <v>54</v>
      </c>
      <c r="L510" s="29">
        <f t="shared" si="161"/>
        <v>0</v>
      </c>
      <c r="M510" s="29">
        <f t="shared" si="161"/>
        <v>54</v>
      </c>
    </row>
    <row r="511" spans="1:13" s="120" customFormat="1" ht="36" customHeight="1" x14ac:dyDescent="0.35">
      <c r="A511" s="16"/>
      <c r="B511" s="497" t="s">
        <v>118</v>
      </c>
      <c r="C511" s="28" t="s">
        <v>417</v>
      </c>
      <c r="D511" s="15" t="s">
        <v>220</v>
      </c>
      <c r="E511" s="15" t="s">
        <v>77</v>
      </c>
      <c r="F511" s="676" t="s">
        <v>38</v>
      </c>
      <c r="G511" s="677" t="s">
        <v>87</v>
      </c>
      <c r="H511" s="677" t="s">
        <v>38</v>
      </c>
      <c r="I511" s="678" t="s">
        <v>275</v>
      </c>
      <c r="J511" s="15" t="s">
        <v>119</v>
      </c>
      <c r="K511" s="29">
        <v>54</v>
      </c>
      <c r="L511" s="29">
        <f>M511-K511</f>
        <v>0</v>
      </c>
      <c r="M511" s="29">
        <v>54</v>
      </c>
    </row>
    <row r="512" spans="1:13" s="120" customFormat="1" ht="54" customHeight="1" x14ac:dyDescent="0.35">
      <c r="A512" s="16"/>
      <c r="B512" s="497" t="s">
        <v>209</v>
      </c>
      <c r="C512" s="28" t="s">
        <v>417</v>
      </c>
      <c r="D512" s="15" t="s">
        <v>220</v>
      </c>
      <c r="E512" s="15" t="s">
        <v>77</v>
      </c>
      <c r="F512" s="676" t="s">
        <v>38</v>
      </c>
      <c r="G512" s="677" t="s">
        <v>29</v>
      </c>
      <c r="H512" s="677" t="s">
        <v>42</v>
      </c>
      <c r="I512" s="678" t="s">
        <v>43</v>
      </c>
      <c r="J512" s="15"/>
      <c r="K512" s="29">
        <f>K513+K531</f>
        <v>97724.550000000017</v>
      </c>
      <c r="L512" s="29">
        <f t="shared" ref="L512" si="162">L513+L531</f>
        <v>2703.6</v>
      </c>
      <c r="M512" s="29">
        <f>M513+M531</f>
        <v>100428.15000000002</v>
      </c>
    </row>
    <row r="513" spans="1:13" s="120" customFormat="1" ht="36" customHeight="1" x14ac:dyDescent="0.35">
      <c r="A513" s="16"/>
      <c r="B513" s="497" t="s">
        <v>278</v>
      </c>
      <c r="C513" s="28" t="s">
        <v>417</v>
      </c>
      <c r="D513" s="15" t="s">
        <v>220</v>
      </c>
      <c r="E513" s="15" t="s">
        <v>77</v>
      </c>
      <c r="F513" s="676" t="s">
        <v>38</v>
      </c>
      <c r="G513" s="677" t="s">
        <v>29</v>
      </c>
      <c r="H513" s="677" t="s">
        <v>36</v>
      </c>
      <c r="I513" s="678" t="s">
        <v>43</v>
      </c>
      <c r="J513" s="15"/>
      <c r="K513" s="29">
        <f>K514+K518+K528+K523</f>
        <v>89913.250000000015</v>
      </c>
      <c r="L513" s="29">
        <f>L514+L518+L528+L523+L526</f>
        <v>2552.1</v>
      </c>
      <c r="M513" s="29">
        <f>M514+M518+M528+M523+M526</f>
        <v>92465.35000000002</v>
      </c>
    </row>
    <row r="514" spans="1:13" s="120" customFormat="1" ht="36" customHeight="1" x14ac:dyDescent="0.35">
      <c r="A514" s="16"/>
      <c r="B514" s="497" t="s">
        <v>46</v>
      </c>
      <c r="C514" s="28" t="s">
        <v>417</v>
      </c>
      <c r="D514" s="15" t="s">
        <v>220</v>
      </c>
      <c r="E514" s="15" t="s">
        <v>77</v>
      </c>
      <c r="F514" s="676" t="s">
        <v>38</v>
      </c>
      <c r="G514" s="677" t="s">
        <v>29</v>
      </c>
      <c r="H514" s="677" t="s">
        <v>36</v>
      </c>
      <c r="I514" s="678" t="s">
        <v>47</v>
      </c>
      <c r="J514" s="15"/>
      <c r="K514" s="29">
        <f>K515+K516+K517</f>
        <v>13705.739</v>
      </c>
      <c r="L514" s="29">
        <f t="shared" ref="L514" si="163">L515+L516+L517</f>
        <v>0</v>
      </c>
      <c r="M514" s="29">
        <f>M515+M516+M517</f>
        <v>13705.739</v>
      </c>
    </row>
    <row r="515" spans="1:13" s="120" customFormat="1" ht="108" customHeight="1" x14ac:dyDescent="0.35">
      <c r="A515" s="16"/>
      <c r="B515" s="497" t="s">
        <v>48</v>
      </c>
      <c r="C515" s="28" t="s">
        <v>417</v>
      </c>
      <c r="D515" s="15" t="s">
        <v>220</v>
      </c>
      <c r="E515" s="15" t="s">
        <v>77</v>
      </c>
      <c r="F515" s="676" t="s">
        <v>38</v>
      </c>
      <c r="G515" s="677" t="s">
        <v>29</v>
      </c>
      <c r="H515" s="677" t="s">
        <v>36</v>
      </c>
      <c r="I515" s="678" t="s">
        <v>47</v>
      </c>
      <c r="J515" s="15" t="s">
        <v>49</v>
      </c>
      <c r="K515" s="29">
        <f>12837.9+43.6</f>
        <v>12881.5</v>
      </c>
      <c r="L515" s="29">
        <f>M515-K515</f>
        <v>0</v>
      </c>
      <c r="M515" s="29">
        <f>12837.9+43.6</f>
        <v>12881.5</v>
      </c>
    </row>
    <row r="516" spans="1:13" s="120" customFormat="1" ht="54" customHeight="1" x14ac:dyDescent="0.35">
      <c r="A516" s="16"/>
      <c r="B516" s="497" t="s">
        <v>53</v>
      </c>
      <c r="C516" s="28" t="s">
        <v>417</v>
      </c>
      <c r="D516" s="15" t="s">
        <v>220</v>
      </c>
      <c r="E516" s="15" t="s">
        <v>77</v>
      </c>
      <c r="F516" s="676" t="s">
        <v>38</v>
      </c>
      <c r="G516" s="677" t="s">
        <v>29</v>
      </c>
      <c r="H516" s="677" t="s">
        <v>36</v>
      </c>
      <c r="I516" s="678" t="s">
        <v>47</v>
      </c>
      <c r="J516" s="15" t="s">
        <v>54</v>
      </c>
      <c r="K516" s="29">
        <f>805.5+2.239</f>
        <v>807.73900000000003</v>
      </c>
      <c r="L516" s="29">
        <f>M516-K516</f>
        <v>0</v>
      </c>
      <c r="M516" s="29">
        <f>805.5+2.239</f>
        <v>807.73900000000003</v>
      </c>
    </row>
    <row r="517" spans="1:13" s="120" customFormat="1" ht="18" customHeight="1" x14ac:dyDescent="0.35">
      <c r="A517" s="16"/>
      <c r="B517" s="497" t="s">
        <v>55</v>
      </c>
      <c r="C517" s="28" t="s">
        <v>417</v>
      </c>
      <c r="D517" s="15" t="s">
        <v>220</v>
      </c>
      <c r="E517" s="15" t="s">
        <v>77</v>
      </c>
      <c r="F517" s="676" t="s">
        <v>38</v>
      </c>
      <c r="G517" s="677" t="s">
        <v>29</v>
      </c>
      <c r="H517" s="677" t="s">
        <v>36</v>
      </c>
      <c r="I517" s="678" t="s">
        <v>47</v>
      </c>
      <c r="J517" s="15" t="s">
        <v>56</v>
      </c>
      <c r="K517" s="29">
        <v>16.5</v>
      </c>
      <c r="L517" s="29">
        <f>M517-K517</f>
        <v>0</v>
      </c>
      <c r="M517" s="29">
        <v>16.5</v>
      </c>
    </row>
    <row r="518" spans="1:13" s="120" customFormat="1" ht="36" customHeight="1" x14ac:dyDescent="0.35">
      <c r="A518" s="16"/>
      <c r="B518" s="529" t="s">
        <v>454</v>
      </c>
      <c r="C518" s="28" t="s">
        <v>417</v>
      </c>
      <c r="D518" s="15" t="s">
        <v>220</v>
      </c>
      <c r="E518" s="15" t="s">
        <v>77</v>
      </c>
      <c r="F518" s="676" t="s">
        <v>38</v>
      </c>
      <c r="G518" s="677" t="s">
        <v>29</v>
      </c>
      <c r="H518" s="677" t="s">
        <v>36</v>
      </c>
      <c r="I518" s="678" t="s">
        <v>89</v>
      </c>
      <c r="J518" s="15"/>
      <c r="K518" s="29">
        <f>K519+K520+K522+K521</f>
        <v>64034.411000000007</v>
      </c>
      <c r="L518" s="29">
        <f t="shared" ref="L518" si="164">L519+L520+L522+L521</f>
        <v>2033.5</v>
      </c>
      <c r="M518" s="29">
        <f>M519+M520+M522+M521</f>
        <v>66067.911000000007</v>
      </c>
    </row>
    <row r="519" spans="1:13" s="120" customFormat="1" ht="108" customHeight="1" x14ac:dyDescent="0.35">
      <c r="A519" s="16"/>
      <c r="B519" s="497" t="s">
        <v>48</v>
      </c>
      <c r="C519" s="28" t="s">
        <v>417</v>
      </c>
      <c r="D519" s="15" t="s">
        <v>220</v>
      </c>
      <c r="E519" s="15" t="s">
        <v>77</v>
      </c>
      <c r="F519" s="676" t="s">
        <v>38</v>
      </c>
      <c r="G519" s="677" t="s">
        <v>29</v>
      </c>
      <c r="H519" s="677" t="s">
        <v>36</v>
      </c>
      <c r="I519" s="678" t="s">
        <v>89</v>
      </c>
      <c r="J519" s="15" t="s">
        <v>49</v>
      </c>
      <c r="K519" s="29">
        <f>38846.2+48.1</f>
        <v>38894.299999999996</v>
      </c>
      <c r="L519" s="29">
        <f>M519-K519</f>
        <v>2033.5</v>
      </c>
      <c r="M519" s="29">
        <f>38846.2+48.1+2033.5</f>
        <v>40927.799999999996</v>
      </c>
    </row>
    <row r="520" spans="1:13" s="120" customFormat="1" ht="54" customHeight="1" x14ac:dyDescent="0.35">
      <c r="A520" s="16"/>
      <c r="B520" s="497" t="s">
        <v>53</v>
      </c>
      <c r="C520" s="28" t="s">
        <v>417</v>
      </c>
      <c r="D520" s="15" t="s">
        <v>220</v>
      </c>
      <c r="E520" s="15" t="s">
        <v>77</v>
      </c>
      <c r="F520" s="676" t="s">
        <v>38</v>
      </c>
      <c r="G520" s="677" t="s">
        <v>29</v>
      </c>
      <c r="H520" s="677" t="s">
        <v>36</v>
      </c>
      <c r="I520" s="678" t="s">
        <v>89</v>
      </c>
      <c r="J520" s="15" t="s">
        <v>54</v>
      </c>
      <c r="K520" s="29">
        <f>3258.2+6.511</f>
        <v>3264.7109999999998</v>
      </c>
      <c r="L520" s="29">
        <f>M520-K520</f>
        <v>0</v>
      </c>
      <c r="M520" s="29">
        <f>3258.2+6.511</f>
        <v>3264.7109999999998</v>
      </c>
    </row>
    <row r="521" spans="1:13" s="120" customFormat="1" ht="54" customHeight="1" x14ac:dyDescent="0.35">
      <c r="A521" s="16"/>
      <c r="B521" s="497" t="s">
        <v>74</v>
      </c>
      <c r="C521" s="28" t="s">
        <v>417</v>
      </c>
      <c r="D521" s="15" t="s">
        <v>220</v>
      </c>
      <c r="E521" s="15" t="s">
        <v>77</v>
      </c>
      <c r="F521" s="676" t="s">
        <v>38</v>
      </c>
      <c r="G521" s="677" t="s">
        <v>29</v>
      </c>
      <c r="H521" s="677" t="s">
        <v>36</v>
      </c>
      <c r="I521" s="678" t="s">
        <v>89</v>
      </c>
      <c r="J521" s="15" t="s">
        <v>75</v>
      </c>
      <c r="K521" s="29">
        <f>20856.4+14.2+1000</f>
        <v>21870.600000000002</v>
      </c>
      <c r="L521" s="29">
        <f>M521-K521</f>
        <v>0</v>
      </c>
      <c r="M521" s="29">
        <f>20856.4+14.2+1000</f>
        <v>21870.600000000002</v>
      </c>
    </row>
    <row r="522" spans="1:13" s="120" customFormat="1" ht="18" customHeight="1" x14ac:dyDescent="0.35">
      <c r="A522" s="16"/>
      <c r="B522" s="497" t="s">
        <v>55</v>
      </c>
      <c r="C522" s="28" t="s">
        <v>417</v>
      </c>
      <c r="D522" s="15" t="s">
        <v>220</v>
      </c>
      <c r="E522" s="15" t="s">
        <v>77</v>
      </c>
      <c r="F522" s="676" t="s">
        <v>38</v>
      </c>
      <c r="G522" s="677" t="s">
        <v>29</v>
      </c>
      <c r="H522" s="677" t="s">
        <v>36</v>
      </c>
      <c r="I522" s="678" t="s">
        <v>89</v>
      </c>
      <c r="J522" s="15" t="s">
        <v>56</v>
      </c>
      <c r="K522" s="29">
        <v>4.8</v>
      </c>
      <c r="L522" s="29">
        <f>M522-K522</f>
        <v>0</v>
      </c>
      <c r="M522" s="29">
        <v>4.8</v>
      </c>
    </row>
    <row r="523" spans="1:13" s="120" customFormat="1" ht="36" customHeight="1" x14ac:dyDescent="0.35">
      <c r="A523" s="16"/>
      <c r="B523" s="497" t="s">
        <v>205</v>
      </c>
      <c r="C523" s="28" t="s">
        <v>417</v>
      </c>
      <c r="D523" s="15" t="s">
        <v>220</v>
      </c>
      <c r="E523" s="15" t="s">
        <v>77</v>
      </c>
      <c r="F523" s="676" t="s">
        <v>38</v>
      </c>
      <c r="G523" s="677" t="s">
        <v>29</v>
      </c>
      <c r="H523" s="677" t="s">
        <v>36</v>
      </c>
      <c r="I523" s="678" t="s">
        <v>270</v>
      </c>
      <c r="J523" s="15"/>
      <c r="K523" s="29">
        <f>K524+K525</f>
        <v>4213.8</v>
      </c>
      <c r="L523" s="29">
        <f t="shared" ref="L523" si="165">L524+L525</f>
        <v>0</v>
      </c>
      <c r="M523" s="29">
        <f>M524+M525</f>
        <v>4213.8</v>
      </c>
    </row>
    <row r="524" spans="1:13" s="120" customFormat="1" ht="54" customHeight="1" x14ac:dyDescent="0.35">
      <c r="A524" s="16"/>
      <c r="B524" s="497" t="s">
        <v>53</v>
      </c>
      <c r="C524" s="28" t="s">
        <v>417</v>
      </c>
      <c r="D524" s="15" t="s">
        <v>220</v>
      </c>
      <c r="E524" s="15" t="s">
        <v>77</v>
      </c>
      <c r="F524" s="676" t="s">
        <v>38</v>
      </c>
      <c r="G524" s="677" t="s">
        <v>29</v>
      </c>
      <c r="H524" s="677" t="s">
        <v>36</v>
      </c>
      <c r="I524" s="678" t="s">
        <v>270</v>
      </c>
      <c r="J524" s="15" t="s">
        <v>54</v>
      </c>
      <c r="K524" s="29">
        <v>10</v>
      </c>
      <c r="L524" s="29">
        <f>M524-K524</f>
        <v>0</v>
      </c>
      <c r="M524" s="29">
        <v>10</v>
      </c>
    </row>
    <row r="525" spans="1:13" s="120" customFormat="1" ht="54" customHeight="1" x14ac:dyDescent="0.35">
      <c r="A525" s="16"/>
      <c r="B525" s="497" t="s">
        <v>74</v>
      </c>
      <c r="C525" s="28" t="s">
        <v>417</v>
      </c>
      <c r="D525" s="15" t="s">
        <v>220</v>
      </c>
      <c r="E525" s="15" t="s">
        <v>77</v>
      </c>
      <c r="F525" s="676" t="s">
        <v>38</v>
      </c>
      <c r="G525" s="677" t="s">
        <v>29</v>
      </c>
      <c r="H525" s="677" t="s">
        <v>36</v>
      </c>
      <c r="I525" s="678" t="s">
        <v>270</v>
      </c>
      <c r="J525" s="15" t="s">
        <v>75</v>
      </c>
      <c r="K525" s="29">
        <f>313.8+3890</f>
        <v>4203.8</v>
      </c>
      <c r="L525" s="29">
        <f>M525-K525</f>
        <v>0</v>
      </c>
      <c r="M525" s="29">
        <f>313.8+3890</f>
        <v>4203.8</v>
      </c>
    </row>
    <row r="526" spans="1:13" s="120" customFormat="1" ht="54" customHeight="1" x14ac:dyDescent="0.35">
      <c r="A526" s="16"/>
      <c r="B526" s="497" t="s">
        <v>668</v>
      </c>
      <c r="C526" s="28" t="s">
        <v>417</v>
      </c>
      <c r="D526" s="15" t="s">
        <v>220</v>
      </c>
      <c r="E526" s="15" t="s">
        <v>77</v>
      </c>
      <c r="F526" s="676" t="s">
        <v>38</v>
      </c>
      <c r="G526" s="677" t="s">
        <v>29</v>
      </c>
      <c r="H526" s="677" t="s">
        <v>36</v>
      </c>
      <c r="I526" s="678" t="s">
        <v>669</v>
      </c>
      <c r="J526" s="15"/>
      <c r="K526" s="29">
        <f>K527</f>
        <v>0</v>
      </c>
      <c r="L526" s="29">
        <f>L527</f>
        <v>518.6</v>
      </c>
      <c r="M526" s="29">
        <f>M527</f>
        <v>518.6</v>
      </c>
    </row>
    <row r="527" spans="1:13" s="120" customFormat="1" ht="54" customHeight="1" x14ac:dyDescent="0.35">
      <c r="A527" s="16"/>
      <c r="B527" s="497" t="s">
        <v>74</v>
      </c>
      <c r="C527" s="28" t="s">
        <v>417</v>
      </c>
      <c r="D527" s="15" t="s">
        <v>220</v>
      </c>
      <c r="E527" s="15" t="s">
        <v>77</v>
      </c>
      <c r="F527" s="676" t="s">
        <v>38</v>
      </c>
      <c r="G527" s="677" t="s">
        <v>29</v>
      </c>
      <c r="H527" s="677" t="s">
        <v>36</v>
      </c>
      <c r="I527" s="678" t="s">
        <v>669</v>
      </c>
      <c r="J527" s="15" t="s">
        <v>75</v>
      </c>
      <c r="K527" s="29">
        <v>0</v>
      </c>
      <c r="L527" s="29">
        <f>M527-K527</f>
        <v>518.6</v>
      </c>
      <c r="M527" s="29">
        <v>518.6</v>
      </c>
    </row>
    <row r="528" spans="1:13" s="120" customFormat="1" ht="108" customHeight="1" x14ac:dyDescent="0.35">
      <c r="A528" s="16"/>
      <c r="B528" s="497" t="s">
        <v>341</v>
      </c>
      <c r="C528" s="28" t="s">
        <v>417</v>
      </c>
      <c r="D528" s="15" t="s">
        <v>220</v>
      </c>
      <c r="E528" s="15" t="s">
        <v>77</v>
      </c>
      <c r="F528" s="676" t="s">
        <v>38</v>
      </c>
      <c r="G528" s="677" t="s">
        <v>29</v>
      </c>
      <c r="H528" s="677" t="s">
        <v>36</v>
      </c>
      <c r="I528" s="678" t="s">
        <v>266</v>
      </c>
      <c r="J528" s="15"/>
      <c r="K528" s="29">
        <f>K529+K530</f>
        <v>7959.3</v>
      </c>
      <c r="L528" s="29">
        <f t="shared" ref="L528" si="166">L529+L530</f>
        <v>0</v>
      </c>
      <c r="M528" s="29">
        <f>M529+M530</f>
        <v>7959.3</v>
      </c>
    </row>
    <row r="529" spans="1:13" s="120" customFormat="1" ht="108" customHeight="1" x14ac:dyDescent="0.35">
      <c r="A529" s="16"/>
      <c r="B529" s="497" t="s">
        <v>48</v>
      </c>
      <c r="C529" s="28" t="s">
        <v>417</v>
      </c>
      <c r="D529" s="15" t="s">
        <v>220</v>
      </c>
      <c r="E529" s="15" t="s">
        <v>77</v>
      </c>
      <c r="F529" s="676" t="s">
        <v>38</v>
      </c>
      <c r="G529" s="677" t="s">
        <v>29</v>
      </c>
      <c r="H529" s="677" t="s">
        <v>36</v>
      </c>
      <c r="I529" s="678" t="s">
        <v>266</v>
      </c>
      <c r="J529" s="15" t="s">
        <v>49</v>
      </c>
      <c r="K529" s="29">
        <v>7200</v>
      </c>
      <c r="L529" s="29">
        <f>M529-K529</f>
        <v>0</v>
      </c>
      <c r="M529" s="29">
        <v>7200</v>
      </c>
    </row>
    <row r="530" spans="1:13" s="120" customFormat="1" ht="54" customHeight="1" x14ac:dyDescent="0.35">
      <c r="A530" s="16"/>
      <c r="B530" s="497" t="s">
        <v>53</v>
      </c>
      <c r="C530" s="28" t="s">
        <v>417</v>
      </c>
      <c r="D530" s="15" t="s">
        <v>220</v>
      </c>
      <c r="E530" s="15" t="s">
        <v>77</v>
      </c>
      <c r="F530" s="676" t="s">
        <v>38</v>
      </c>
      <c r="G530" s="677" t="s">
        <v>29</v>
      </c>
      <c r="H530" s="677" t="s">
        <v>36</v>
      </c>
      <c r="I530" s="678" t="s">
        <v>266</v>
      </c>
      <c r="J530" s="15" t="s">
        <v>54</v>
      </c>
      <c r="K530" s="29">
        <v>759.3</v>
      </c>
      <c r="L530" s="29">
        <f>M530-K530</f>
        <v>0</v>
      </c>
      <c r="M530" s="29">
        <v>759.3</v>
      </c>
    </row>
    <row r="531" spans="1:13" s="120" customFormat="1" ht="54" customHeight="1" x14ac:dyDescent="0.35">
      <c r="A531" s="16"/>
      <c r="B531" s="494" t="s">
        <v>277</v>
      </c>
      <c r="C531" s="216" t="s">
        <v>417</v>
      </c>
      <c r="D531" s="33" t="s">
        <v>220</v>
      </c>
      <c r="E531" s="33" t="s">
        <v>77</v>
      </c>
      <c r="F531" s="208" t="s">
        <v>38</v>
      </c>
      <c r="G531" s="209" t="s">
        <v>29</v>
      </c>
      <c r="H531" s="209" t="s">
        <v>38</v>
      </c>
      <c r="I531" s="210" t="s">
        <v>43</v>
      </c>
      <c r="J531" s="33"/>
      <c r="K531" s="211">
        <f>K532+K534</f>
        <v>7811.3</v>
      </c>
      <c r="L531" s="211">
        <f t="shared" ref="L531" si="167">L532+L534</f>
        <v>151.5</v>
      </c>
      <c r="M531" s="211">
        <f>M532+M534</f>
        <v>7962.8</v>
      </c>
    </row>
    <row r="532" spans="1:13" s="120" customFormat="1" ht="36" customHeight="1" x14ac:dyDescent="0.35">
      <c r="A532" s="16"/>
      <c r="B532" s="494" t="s">
        <v>460</v>
      </c>
      <c r="C532" s="216" t="s">
        <v>417</v>
      </c>
      <c r="D532" s="33" t="s">
        <v>220</v>
      </c>
      <c r="E532" s="33" t="s">
        <v>77</v>
      </c>
      <c r="F532" s="208" t="s">
        <v>38</v>
      </c>
      <c r="G532" s="209" t="s">
        <v>29</v>
      </c>
      <c r="H532" s="209" t="s">
        <v>38</v>
      </c>
      <c r="I532" s="210" t="s">
        <v>459</v>
      </c>
      <c r="J532" s="33"/>
      <c r="K532" s="211">
        <f>K533</f>
        <v>2243.3000000000002</v>
      </c>
      <c r="L532" s="211">
        <f t="shared" ref="L532" si="168">L533</f>
        <v>151.5</v>
      </c>
      <c r="M532" s="211">
        <f>M533</f>
        <v>2394.8000000000002</v>
      </c>
    </row>
    <row r="533" spans="1:13" s="120" customFormat="1" ht="54" customHeight="1" x14ac:dyDescent="0.35">
      <c r="A533" s="16"/>
      <c r="B533" s="494" t="s">
        <v>74</v>
      </c>
      <c r="C533" s="216" t="s">
        <v>417</v>
      </c>
      <c r="D533" s="33" t="s">
        <v>220</v>
      </c>
      <c r="E533" s="33" t="s">
        <v>77</v>
      </c>
      <c r="F533" s="208" t="s">
        <v>38</v>
      </c>
      <c r="G533" s="209" t="s">
        <v>29</v>
      </c>
      <c r="H533" s="209" t="s">
        <v>38</v>
      </c>
      <c r="I533" s="210" t="s">
        <v>459</v>
      </c>
      <c r="J533" s="33" t="s">
        <v>75</v>
      </c>
      <c r="K533" s="211">
        <v>2243.3000000000002</v>
      </c>
      <c r="L533" s="29">
        <f>M533-K533</f>
        <v>151.5</v>
      </c>
      <c r="M533" s="211">
        <f>2243.3+151.5</f>
        <v>2394.8000000000002</v>
      </c>
    </row>
    <row r="534" spans="1:13" s="120" customFormat="1" ht="108" customHeight="1" x14ac:dyDescent="0.35">
      <c r="A534" s="16"/>
      <c r="B534" s="494" t="s">
        <v>431</v>
      </c>
      <c r="C534" s="216" t="s">
        <v>417</v>
      </c>
      <c r="D534" s="33" t="s">
        <v>220</v>
      </c>
      <c r="E534" s="33" t="s">
        <v>77</v>
      </c>
      <c r="F534" s="208" t="s">
        <v>38</v>
      </c>
      <c r="G534" s="209" t="s">
        <v>29</v>
      </c>
      <c r="H534" s="209" t="s">
        <v>38</v>
      </c>
      <c r="I534" s="210" t="s">
        <v>430</v>
      </c>
      <c r="J534" s="33"/>
      <c r="K534" s="211">
        <f>K535</f>
        <v>5568</v>
      </c>
      <c r="L534" s="211">
        <f t="shared" ref="L534" si="169">L535</f>
        <v>0</v>
      </c>
      <c r="M534" s="211">
        <f>M535</f>
        <v>5568</v>
      </c>
    </row>
    <row r="535" spans="1:13" s="120" customFormat="1" ht="54" customHeight="1" x14ac:dyDescent="0.35">
      <c r="A535" s="16"/>
      <c r="B535" s="494" t="s">
        <v>74</v>
      </c>
      <c r="C535" s="216" t="s">
        <v>417</v>
      </c>
      <c r="D535" s="33" t="s">
        <v>220</v>
      </c>
      <c r="E535" s="33" t="s">
        <v>77</v>
      </c>
      <c r="F535" s="208" t="s">
        <v>38</v>
      </c>
      <c r="G535" s="209" t="s">
        <v>29</v>
      </c>
      <c r="H535" s="209" t="s">
        <v>38</v>
      </c>
      <c r="I535" s="210" t="s">
        <v>430</v>
      </c>
      <c r="J535" s="33" t="s">
        <v>75</v>
      </c>
      <c r="K535" s="211">
        <v>5568</v>
      </c>
      <c r="L535" s="29">
        <f>M535-K535</f>
        <v>0</v>
      </c>
      <c r="M535" s="211">
        <v>5568</v>
      </c>
    </row>
    <row r="536" spans="1:13" s="120" customFormat="1" ht="18" customHeight="1" x14ac:dyDescent="0.35">
      <c r="A536" s="16"/>
      <c r="B536" s="545" t="s">
        <v>117</v>
      </c>
      <c r="C536" s="28" t="s">
        <v>417</v>
      </c>
      <c r="D536" s="15" t="s">
        <v>102</v>
      </c>
      <c r="E536" s="15"/>
      <c r="F536" s="676"/>
      <c r="G536" s="677"/>
      <c r="H536" s="677"/>
      <c r="I536" s="678"/>
      <c r="J536" s="15"/>
      <c r="K536" s="29">
        <f>K537</f>
        <v>8438.2000000000007</v>
      </c>
      <c r="L536" s="29">
        <f t="shared" ref="L536" si="170">L537</f>
        <v>0</v>
      </c>
      <c r="M536" s="29">
        <f>M537</f>
        <v>8438.2000000000007</v>
      </c>
    </row>
    <row r="537" spans="1:13" s="120" customFormat="1" ht="18" x14ac:dyDescent="0.35">
      <c r="A537" s="16"/>
      <c r="B537" s="545" t="s">
        <v>190</v>
      </c>
      <c r="C537" s="28" t="s">
        <v>417</v>
      </c>
      <c r="D537" s="15" t="s">
        <v>102</v>
      </c>
      <c r="E537" s="15" t="s">
        <v>50</v>
      </c>
      <c r="F537" s="676"/>
      <c r="G537" s="677"/>
      <c r="H537" s="677"/>
      <c r="I537" s="678"/>
      <c r="J537" s="15"/>
      <c r="K537" s="29">
        <f t="shared" ref="K537:M537" si="171">K538</f>
        <v>8438.2000000000007</v>
      </c>
      <c r="L537" s="29">
        <f t="shared" si="171"/>
        <v>0</v>
      </c>
      <c r="M537" s="29">
        <f t="shared" si="171"/>
        <v>8438.2000000000007</v>
      </c>
    </row>
    <row r="538" spans="1:13" s="120" customFormat="1" ht="54" customHeight="1" x14ac:dyDescent="0.35">
      <c r="A538" s="16"/>
      <c r="B538" s="497" t="s">
        <v>202</v>
      </c>
      <c r="C538" s="28" t="s">
        <v>417</v>
      </c>
      <c r="D538" s="15" t="s">
        <v>102</v>
      </c>
      <c r="E538" s="15" t="s">
        <v>50</v>
      </c>
      <c r="F538" s="676" t="s">
        <v>38</v>
      </c>
      <c r="G538" s="677" t="s">
        <v>41</v>
      </c>
      <c r="H538" s="677" t="s">
        <v>42</v>
      </c>
      <c r="I538" s="678" t="s">
        <v>43</v>
      </c>
      <c r="J538" s="15"/>
      <c r="K538" s="29">
        <f t="shared" ref="K538:M540" si="172">K539</f>
        <v>8438.2000000000007</v>
      </c>
      <c r="L538" s="29">
        <f t="shared" si="172"/>
        <v>0</v>
      </c>
      <c r="M538" s="29">
        <f t="shared" si="172"/>
        <v>8438.2000000000007</v>
      </c>
    </row>
    <row r="539" spans="1:13" s="120" customFormat="1" ht="36" customHeight="1" x14ac:dyDescent="0.35">
      <c r="A539" s="16"/>
      <c r="B539" s="497" t="s">
        <v>203</v>
      </c>
      <c r="C539" s="28" t="s">
        <v>417</v>
      </c>
      <c r="D539" s="15" t="s">
        <v>102</v>
      </c>
      <c r="E539" s="15" t="s">
        <v>50</v>
      </c>
      <c r="F539" s="676" t="s">
        <v>38</v>
      </c>
      <c r="G539" s="677" t="s">
        <v>44</v>
      </c>
      <c r="H539" s="677" t="s">
        <v>42</v>
      </c>
      <c r="I539" s="678" t="s">
        <v>43</v>
      </c>
      <c r="J539" s="15"/>
      <c r="K539" s="29">
        <f t="shared" si="172"/>
        <v>8438.2000000000007</v>
      </c>
      <c r="L539" s="29">
        <f t="shared" si="172"/>
        <v>0</v>
      </c>
      <c r="M539" s="29">
        <f t="shared" si="172"/>
        <v>8438.2000000000007</v>
      </c>
    </row>
    <row r="540" spans="1:13" s="120" customFormat="1" ht="36" customHeight="1" x14ac:dyDescent="0.35">
      <c r="A540" s="16"/>
      <c r="B540" s="497" t="s">
        <v>263</v>
      </c>
      <c r="C540" s="28" t="s">
        <v>417</v>
      </c>
      <c r="D540" s="15" t="s">
        <v>102</v>
      </c>
      <c r="E540" s="15" t="s">
        <v>50</v>
      </c>
      <c r="F540" s="676" t="s">
        <v>38</v>
      </c>
      <c r="G540" s="677" t="s">
        <v>44</v>
      </c>
      <c r="H540" s="677" t="s">
        <v>36</v>
      </c>
      <c r="I540" s="678" t="s">
        <v>43</v>
      </c>
      <c r="J540" s="15"/>
      <c r="K540" s="29">
        <f t="shared" si="172"/>
        <v>8438.2000000000007</v>
      </c>
      <c r="L540" s="29">
        <f t="shared" si="172"/>
        <v>0</v>
      </c>
      <c r="M540" s="29">
        <f t="shared" si="172"/>
        <v>8438.2000000000007</v>
      </c>
    </row>
    <row r="541" spans="1:13" s="120" customFormat="1" ht="126" customHeight="1" x14ac:dyDescent="0.35">
      <c r="A541" s="16"/>
      <c r="B541" s="497" t="s">
        <v>279</v>
      </c>
      <c r="C541" s="28" t="s">
        <v>417</v>
      </c>
      <c r="D541" s="15" t="s">
        <v>102</v>
      </c>
      <c r="E541" s="15" t="s">
        <v>50</v>
      </c>
      <c r="F541" s="676" t="s">
        <v>38</v>
      </c>
      <c r="G541" s="677" t="s">
        <v>44</v>
      </c>
      <c r="H541" s="677" t="s">
        <v>36</v>
      </c>
      <c r="I541" s="678" t="s">
        <v>280</v>
      </c>
      <c r="J541" s="15"/>
      <c r="K541" s="29">
        <f>K542+K543</f>
        <v>8438.2000000000007</v>
      </c>
      <c r="L541" s="29">
        <f t="shared" ref="L541" si="173">L542+L543</f>
        <v>0</v>
      </c>
      <c r="M541" s="29">
        <f>M542+M543</f>
        <v>8438.2000000000007</v>
      </c>
    </row>
    <row r="542" spans="1:13" s="120" customFormat="1" ht="54" customHeight="1" x14ac:dyDescent="0.35">
      <c r="A542" s="16"/>
      <c r="B542" s="497" t="s">
        <v>53</v>
      </c>
      <c r="C542" s="28" t="s">
        <v>417</v>
      </c>
      <c r="D542" s="15" t="s">
        <v>102</v>
      </c>
      <c r="E542" s="15" t="s">
        <v>50</v>
      </c>
      <c r="F542" s="676" t="s">
        <v>38</v>
      </c>
      <c r="G542" s="677" t="s">
        <v>44</v>
      </c>
      <c r="H542" s="677" t="s">
        <v>36</v>
      </c>
      <c r="I542" s="678" t="s">
        <v>280</v>
      </c>
      <c r="J542" s="15" t="s">
        <v>54</v>
      </c>
      <c r="K542" s="29">
        <v>124.7</v>
      </c>
      <c r="L542" s="29">
        <f>M542-K542</f>
        <v>0</v>
      </c>
      <c r="M542" s="29">
        <v>124.7</v>
      </c>
    </row>
    <row r="543" spans="1:13" s="120" customFormat="1" ht="36" customHeight="1" x14ac:dyDescent="0.35">
      <c r="A543" s="16"/>
      <c r="B543" s="504" t="s">
        <v>118</v>
      </c>
      <c r="C543" s="28" t="s">
        <v>417</v>
      </c>
      <c r="D543" s="15" t="s">
        <v>102</v>
      </c>
      <c r="E543" s="15" t="s">
        <v>50</v>
      </c>
      <c r="F543" s="676" t="s">
        <v>38</v>
      </c>
      <c r="G543" s="677" t="s">
        <v>44</v>
      </c>
      <c r="H543" s="677" t="s">
        <v>36</v>
      </c>
      <c r="I543" s="678" t="s">
        <v>280</v>
      </c>
      <c r="J543" s="15" t="s">
        <v>119</v>
      </c>
      <c r="K543" s="29">
        <v>8313.5</v>
      </c>
      <c r="L543" s="29">
        <f>M543-K543</f>
        <v>0</v>
      </c>
      <c r="M543" s="29">
        <v>8313.5</v>
      </c>
    </row>
    <row r="544" spans="1:13" s="120" customFormat="1" ht="18" x14ac:dyDescent="0.35">
      <c r="A544" s="16"/>
      <c r="B544" s="501" t="s">
        <v>318</v>
      </c>
      <c r="C544" s="28" t="s">
        <v>417</v>
      </c>
      <c r="D544" s="15" t="s">
        <v>65</v>
      </c>
      <c r="E544" s="15"/>
      <c r="F544" s="676"/>
      <c r="G544" s="677"/>
      <c r="H544" s="677"/>
      <c r="I544" s="678"/>
      <c r="J544" s="15"/>
      <c r="K544" s="29">
        <f t="shared" ref="K544:M547" si="174">K545</f>
        <v>22455.31</v>
      </c>
      <c r="L544" s="29">
        <f t="shared" si="174"/>
        <v>1390.9999999999991</v>
      </c>
      <c r="M544" s="29">
        <f t="shared" si="174"/>
        <v>23846.31</v>
      </c>
    </row>
    <row r="545" spans="1:13" s="120" customFormat="1" ht="18" x14ac:dyDescent="0.35">
      <c r="A545" s="16"/>
      <c r="B545" s="573" t="s">
        <v>558</v>
      </c>
      <c r="C545" s="28" t="s">
        <v>417</v>
      </c>
      <c r="D545" s="15" t="s">
        <v>65</v>
      </c>
      <c r="E545" s="15" t="s">
        <v>61</v>
      </c>
      <c r="F545" s="676"/>
      <c r="G545" s="677"/>
      <c r="H545" s="677"/>
      <c r="I545" s="678"/>
      <c r="J545" s="15"/>
      <c r="K545" s="29">
        <f t="shared" si="174"/>
        <v>22455.31</v>
      </c>
      <c r="L545" s="29">
        <f t="shared" si="174"/>
        <v>1390.9999999999991</v>
      </c>
      <c r="M545" s="29">
        <f t="shared" si="174"/>
        <v>23846.31</v>
      </c>
    </row>
    <row r="546" spans="1:13" s="120" customFormat="1" ht="36" customHeight="1" x14ac:dyDescent="0.35">
      <c r="A546" s="16"/>
      <c r="B546" s="573" t="s">
        <v>202</v>
      </c>
      <c r="C546" s="28" t="s">
        <v>417</v>
      </c>
      <c r="D546" s="15" t="s">
        <v>65</v>
      </c>
      <c r="E546" s="15" t="s">
        <v>61</v>
      </c>
      <c r="F546" s="676" t="s">
        <v>38</v>
      </c>
      <c r="G546" s="677" t="s">
        <v>41</v>
      </c>
      <c r="H546" s="677" t="s">
        <v>42</v>
      </c>
      <c r="I546" s="678" t="s">
        <v>43</v>
      </c>
      <c r="J546" s="15"/>
      <c r="K546" s="29">
        <f t="shared" si="174"/>
        <v>22455.31</v>
      </c>
      <c r="L546" s="29">
        <f>L547</f>
        <v>1390.9999999999991</v>
      </c>
      <c r="M546" s="29">
        <f t="shared" si="174"/>
        <v>23846.31</v>
      </c>
    </row>
    <row r="547" spans="1:13" s="120" customFormat="1" ht="18" x14ac:dyDescent="0.35">
      <c r="A547" s="16"/>
      <c r="B547" s="573" t="s">
        <v>207</v>
      </c>
      <c r="C547" s="28" t="s">
        <v>417</v>
      </c>
      <c r="D547" s="15" t="s">
        <v>65</v>
      </c>
      <c r="E547" s="15" t="s">
        <v>61</v>
      </c>
      <c r="F547" s="676" t="s">
        <v>38</v>
      </c>
      <c r="G547" s="677" t="s">
        <v>87</v>
      </c>
      <c r="H547" s="677" t="s">
        <v>42</v>
      </c>
      <c r="I547" s="678" t="s">
        <v>43</v>
      </c>
      <c r="J547" s="15"/>
      <c r="K547" s="29">
        <f t="shared" si="174"/>
        <v>22455.31</v>
      </c>
      <c r="L547" s="29">
        <f>L548</f>
        <v>1390.9999999999991</v>
      </c>
      <c r="M547" s="29">
        <f t="shared" si="174"/>
        <v>23846.31</v>
      </c>
    </row>
    <row r="548" spans="1:13" s="120" customFormat="1" ht="36" customHeight="1" x14ac:dyDescent="0.35">
      <c r="A548" s="16"/>
      <c r="B548" s="573" t="s">
        <v>272</v>
      </c>
      <c r="C548" s="28" t="s">
        <v>417</v>
      </c>
      <c r="D548" s="15" t="s">
        <v>65</v>
      </c>
      <c r="E548" s="15" t="s">
        <v>61</v>
      </c>
      <c r="F548" s="676" t="s">
        <v>38</v>
      </c>
      <c r="G548" s="677" t="s">
        <v>87</v>
      </c>
      <c r="H548" s="677" t="s">
        <v>36</v>
      </c>
      <c r="I548" s="678" t="s">
        <v>43</v>
      </c>
      <c r="J548" s="15"/>
      <c r="K548" s="29">
        <f>K549+K553</f>
        <v>22455.31</v>
      </c>
      <c r="L548" s="29">
        <f>L549+L553</f>
        <v>1390.9999999999991</v>
      </c>
      <c r="M548" s="29">
        <f>M549+M553</f>
        <v>23846.31</v>
      </c>
    </row>
    <row r="549" spans="1:13" s="120" customFormat="1" ht="36" customHeight="1" x14ac:dyDescent="0.35">
      <c r="A549" s="16"/>
      <c r="B549" s="625" t="s">
        <v>454</v>
      </c>
      <c r="C549" s="28" t="s">
        <v>417</v>
      </c>
      <c r="D549" s="15" t="s">
        <v>65</v>
      </c>
      <c r="E549" s="15" t="s">
        <v>61</v>
      </c>
      <c r="F549" s="676" t="s">
        <v>38</v>
      </c>
      <c r="G549" s="677" t="s">
        <v>87</v>
      </c>
      <c r="H549" s="677" t="s">
        <v>36</v>
      </c>
      <c r="I549" s="678" t="s">
        <v>89</v>
      </c>
      <c r="J549" s="15"/>
      <c r="K549" s="29">
        <f>K550+K551+K552</f>
        <v>21295.81</v>
      </c>
      <c r="L549" s="29">
        <f>SUM(L550:L552)</f>
        <v>1390.9999999999991</v>
      </c>
      <c r="M549" s="29">
        <f>M550+M551+M552</f>
        <v>22686.81</v>
      </c>
    </row>
    <row r="550" spans="1:13" s="120" customFormat="1" ht="108" x14ac:dyDescent="0.35">
      <c r="A550" s="16"/>
      <c r="B550" s="497" t="s">
        <v>48</v>
      </c>
      <c r="C550" s="28" t="s">
        <v>417</v>
      </c>
      <c r="D550" s="15" t="s">
        <v>65</v>
      </c>
      <c r="E550" s="15" t="s">
        <v>61</v>
      </c>
      <c r="F550" s="676" t="s">
        <v>38</v>
      </c>
      <c r="G550" s="677" t="s">
        <v>87</v>
      </c>
      <c r="H550" s="677" t="s">
        <v>36</v>
      </c>
      <c r="I550" s="678" t="s">
        <v>89</v>
      </c>
      <c r="J550" s="15" t="s">
        <v>49</v>
      </c>
      <c r="K550" s="29">
        <f>17038.2+396.2</f>
        <v>17434.400000000001</v>
      </c>
      <c r="L550" s="29">
        <f>M550-K550</f>
        <v>1298.7999999999993</v>
      </c>
      <c r="M550" s="29">
        <f>17038.2+396.2+1298.8</f>
        <v>18733.2</v>
      </c>
    </row>
    <row r="551" spans="1:13" s="120" customFormat="1" ht="36" customHeight="1" x14ac:dyDescent="0.35">
      <c r="A551" s="16"/>
      <c r="B551" s="573" t="s">
        <v>53</v>
      </c>
      <c r="C551" s="28" t="s">
        <v>417</v>
      </c>
      <c r="D551" s="15" t="s">
        <v>65</v>
      </c>
      <c r="E551" s="15" t="s">
        <v>61</v>
      </c>
      <c r="F551" s="676" t="s">
        <v>38</v>
      </c>
      <c r="G551" s="677" t="s">
        <v>87</v>
      </c>
      <c r="H551" s="677" t="s">
        <v>36</v>
      </c>
      <c r="I551" s="678" t="s">
        <v>89</v>
      </c>
      <c r="J551" s="15" t="s">
        <v>54</v>
      </c>
      <c r="K551" s="29">
        <f>1296.2+2261.9+0.11-0.1</f>
        <v>3558.1100000000006</v>
      </c>
      <c r="L551" s="29">
        <f>M551-K551</f>
        <v>92.199999999999818</v>
      </c>
      <c r="M551" s="29">
        <f>1296.2+2261.9+0.11-0.1+92.2</f>
        <v>3650.3100000000004</v>
      </c>
    </row>
    <row r="552" spans="1:13" s="120" customFormat="1" ht="18" x14ac:dyDescent="0.35">
      <c r="A552" s="16"/>
      <c r="B552" s="497" t="s">
        <v>55</v>
      </c>
      <c r="C552" s="28" t="s">
        <v>417</v>
      </c>
      <c r="D552" s="15" t="s">
        <v>65</v>
      </c>
      <c r="E552" s="15" t="s">
        <v>61</v>
      </c>
      <c r="F552" s="676" t="s">
        <v>38</v>
      </c>
      <c r="G552" s="677" t="s">
        <v>87</v>
      </c>
      <c r="H552" s="677" t="s">
        <v>36</v>
      </c>
      <c r="I552" s="678" t="s">
        <v>89</v>
      </c>
      <c r="J552" s="15" t="s">
        <v>56</v>
      </c>
      <c r="K552" s="29">
        <f>303.2+0.1</f>
        <v>303.3</v>
      </c>
      <c r="L552" s="29">
        <f>M552-K552</f>
        <v>0</v>
      </c>
      <c r="M552" s="29">
        <f>303.2+0.1</f>
        <v>303.3</v>
      </c>
    </row>
    <row r="553" spans="1:13" s="120" customFormat="1" ht="54" x14ac:dyDescent="0.35">
      <c r="A553" s="16"/>
      <c r="B553" s="497" t="s">
        <v>204</v>
      </c>
      <c r="C553" s="28" t="s">
        <v>417</v>
      </c>
      <c r="D553" s="15" t="s">
        <v>65</v>
      </c>
      <c r="E553" s="15" t="s">
        <v>61</v>
      </c>
      <c r="F553" s="676" t="s">
        <v>38</v>
      </c>
      <c r="G553" s="677" t="s">
        <v>87</v>
      </c>
      <c r="H553" s="677" t="s">
        <v>36</v>
      </c>
      <c r="I553" s="678" t="s">
        <v>269</v>
      </c>
      <c r="J553" s="15"/>
      <c r="K553" s="29">
        <f>K554</f>
        <v>1159.5</v>
      </c>
      <c r="L553" s="29">
        <f>L554</f>
        <v>0</v>
      </c>
      <c r="M553" s="29">
        <f>M554</f>
        <v>1159.5</v>
      </c>
    </row>
    <row r="554" spans="1:13" s="120" customFormat="1" ht="54" x14ac:dyDescent="0.35">
      <c r="A554" s="16"/>
      <c r="B554" s="497" t="s">
        <v>53</v>
      </c>
      <c r="C554" s="28" t="s">
        <v>417</v>
      </c>
      <c r="D554" s="15" t="s">
        <v>65</v>
      </c>
      <c r="E554" s="15" t="s">
        <v>61</v>
      </c>
      <c r="F554" s="676" t="s">
        <v>38</v>
      </c>
      <c r="G554" s="677" t="s">
        <v>87</v>
      </c>
      <c r="H554" s="677" t="s">
        <v>36</v>
      </c>
      <c r="I554" s="678" t="s">
        <v>269</v>
      </c>
      <c r="J554" s="15" t="s">
        <v>54</v>
      </c>
      <c r="K554" s="29">
        <v>1159.5</v>
      </c>
      <c r="L554" s="29">
        <f>M554-K554</f>
        <v>0</v>
      </c>
      <c r="M554" s="29">
        <v>1159.5</v>
      </c>
    </row>
    <row r="555" spans="1:13" s="136" customFormat="1" ht="18" customHeight="1" x14ac:dyDescent="0.35">
      <c r="A555" s="598"/>
      <c r="B555" s="616"/>
      <c r="C555" s="632"/>
      <c r="D555" s="633"/>
      <c r="E555" s="633"/>
      <c r="F555" s="161"/>
      <c r="G555" s="162"/>
      <c r="H555" s="162"/>
      <c r="I555" s="163"/>
      <c r="J555" s="633"/>
      <c r="K555" s="262"/>
      <c r="L555" s="262"/>
      <c r="M555" s="262"/>
    </row>
    <row r="556" spans="1:13" s="116" customFormat="1" ht="52.2" customHeight="1" x14ac:dyDescent="0.3">
      <c r="A556" s="115">
        <v>6</v>
      </c>
      <c r="B556" s="565" t="s">
        <v>9</v>
      </c>
      <c r="C556" s="23" t="s">
        <v>310</v>
      </c>
      <c r="D556" s="24"/>
      <c r="E556" s="24"/>
      <c r="F556" s="25"/>
      <c r="G556" s="26"/>
      <c r="H556" s="26"/>
      <c r="I556" s="27"/>
      <c r="J556" s="24"/>
      <c r="K556" s="37">
        <f>K567+K591+K557</f>
        <v>138785.79999999999</v>
      </c>
      <c r="L556" s="37">
        <f t="shared" ref="L556" si="175">L567+L591+L557</f>
        <v>4095.7</v>
      </c>
      <c r="M556" s="37">
        <f>M567+M591+M557</f>
        <v>142881.49999999997</v>
      </c>
    </row>
    <row r="557" spans="1:13" s="116" customFormat="1" ht="18" customHeight="1" x14ac:dyDescent="0.35">
      <c r="A557" s="115"/>
      <c r="B557" s="497" t="s">
        <v>35</v>
      </c>
      <c r="C557" s="28" t="s">
        <v>310</v>
      </c>
      <c r="D557" s="33" t="s">
        <v>36</v>
      </c>
      <c r="E557" s="24"/>
      <c r="F557" s="25"/>
      <c r="G557" s="26"/>
      <c r="H557" s="26"/>
      <c r="I557" s="27"/>
      <c r="J557" s="24"/>
      <c r="K557" s="211">
        <f>K558</f>
        <v>76</v>
      </c>
      <c r="L557" s="211">
        <f t="shared" ref="L557:L559" si="176">L558</f>
        <v>0</v>
      </c>
      <c r="M557" s="211">
        <f>M558</f>
        <v>76</v>
      </c>
    </row>
    <row r="558" spans="1:13" s="116" customFormat="1" ht="18" customHeight="1" x14ac:dyDescent="0.35">
      <c r="A558" s="115"/>
      <c r="B558" s="497" t="s">
        <v>68</v>
      </c>
      <c r="C558" s="28" t="s">
        <v>310</v>
      </c>
      <c r="D558" s="33" t="s">
        <v>36</v>
      </c>
      <c r="E558" s="33" t="s">
        <v>69</v>
      </c>
      <c r="F558" s="25"/>
      <c r="G558" s="26"/>
      <c r="H558" s="26"/>
      <c r="I558" s="27"/>
      <c r="J558" s="24"/>
      <c r="K558" s="211">
        <f>K559</f>
        <v>76</v>
      </c>
      <c r="L558" s="211">
        <f t="shared" si="176"/>
        <v>0</v>
      </c>
      <c r="M558" s="211">
        <f>M559</f>
        <v>76</v>
      </c>
    </row>
    <row r="559" spans="1:13" s="116" customFormat="1" ht="54" customHeight="1" x14ac:dyDescent="0.35">
      <c r="A559" s="115"/>
      <c r="B559" s="546" t="s">
        <v>210</v>
      </c>
      <c r="C559" s="28" t="s">
        <v>310</v>
      </c>
      <c r="D559" s="15" t="s">
        <v>36</v>
      </c>
      <c r="E559" s="15" t="s">
        <v>69</v>
      </c>
      <c r="F559" s="676" t="s">
        <v>61</v>
      </c>
      <c r="G559" s="677" t="s">
        <v>41</v>
      </c>
      <c r="H559" s="677" t="s">
        <v>42</v>
      </c>
      <c r="I559" s="678" t="s">
        <v>43</v>
      </c>
      <c r="J559" s="24"/>
      <c r="K559" s="211">
        <f>K560</f>
        <v>76</v>
      </c>
      <c r="L559" s="211">
        <f t="shared" si="176"/>
        <v>0</v>
      </c>
      <c r="M559" s="211">
        <f>M560</f>
        <v>76</v>
      </c>
    </row>
    <row r="560" spans="1:13" s="116" customFormat="1" ht="54" customHeight="1" x14ac:dyDescent="0.35">
      <c r="A560" s="115"/>
      <c r="B560" s="546" t="s">
        <v>212</v>
      </c>
      <c r="C560" s="28" t="s">
        <v>310</v>
      </c>
      <c r="D560" s="15" t="s">
        <v>36</v>
      </c>
      <c r="E560" s="15" t="s">
        <v>69</v>
      </c>
      <c r="F560" s="208" t="s">
        <v>61</v>
      </c>
      <c r="G560" s="209" t="s">
        <v>29</v>
      </c>
      <c r="H560" s="677" t="s">
        <v>42</v>
      </c>
      <c r="I560" s="678" t="s">
        <v>43</v>
      </c>
      <c r="J560" s="24"/>
      <c r="K560" s="211">
        <f>K561+K564</f>
        <v>76</v>
      </c>
      <c r="L560" s="211">
        <f t="shared" ref="L560" si="177">L561+L564</f>
        <v>0</v>
      </c>
      <c r="M560" s="211">
        <f>M561+M564</f>
        <v>76</v>
      </c>
    </row>
    <row r="561" spans="1:13" s="116" customFormat="1" ht="54" customHeight="1" x14ac:dyDescent="0.35">
      <c r="A561" s="115"/>
      <c r="B561" s="546" t="s">
        <v>278</v>
      </c>
      <c r="C561" s="28" t="s">
        <v>310</v>
      </c>
      <c r="D561" s="15" t="s">
        <v>36</v>
      </c>
      <c r="E561" s="15" t="s">
        <v>69</v>
      </c>
      <c r="F561" s="208" t="s">
        <v>61</v>
      </c>
      <c r="G561" s="209" t="s">
        <v>29</v>
      </c>
      <c r="H561" s="209" t="s">
        <v>36</v>
      </c>
      <c r="I561" s="678" t="s">
        <v>43</v>
      </c>
      <c r="J561" s="24"/>
      <c r="K561" s="211">
        <f>K562</f>
        <v>19.7</v>
      </c>
      <c r="L561" s="211">
        <f t="shared" ref="L561:L562" si="178">L562</f>
        <v>0</v>
      </c>
      <c r="M561" s="211">
        <f>M562</f>
        <v>19.7</v>
      </c>
    </row>
    <row r="562" spans="1:13" s="116" customFormat="1" ht="54" customHeight="1" x14ac:dyDescent="0.35">
      <c r="A562" s="115"/>
      <c r="B562" s="497" t="s">
        <v>375</v>
      </c>
      <c r="C562" s="28" t="s">
        <v>310</v>
      </c>
      <c r="D562" s="15" t="s">
        <v>36</v>
      </c>
      <c r="E562" s="15" t="s">
        <v>69</v>
      </c>
      <c r="F562" s="208" t="s">
        <v>61</v>
      </c>
      <c r="G562" s="209" t="s">
        <v>29</v>
      </c>
      <c r="H562" s="209" t="s">
        <v>36</v>
      </c>
      <c r="I562" s="210" t="s">
        <v>374</v>
      </c>
      <c r="J562" s="33"/>
      <c r="K562" s="211">
        <f>K563</f>
        <v>19.7</v>
      </c>
      <c r="L562" s="211">
        <f t="shared" si="178"/>
        <v>0</v>
      </c>
      <c r="M562" s="211">
        <f>M563</f>
        <v>19.7</v>
      </c>
    </row>
    <row r="563" spans="1:13" s="116" customFormat="1" ht="54" customHeight="1" x14ac:dyDescent="0.35">
      <c r="A563" s="115"/>
      <c r="B563" s="497" t="s">
        <v>53</v>
      </c>
      <c r="C563" s="28" t="s">
        <v>310</v>
      </c>
      <c r="D563" s="33" t="s">
        <v>36</v>
      </c>
      <c r="E563" s="33" t="s">
        <v>69</v>
      </c>
      <c r="F563" s="208" t="s">
        <v>61</v>
      </c>
      <c r="G563" s="209" t="s">
        <v>29</v>
      </c>
      <c r="H563" s="209" t="s">
        <v>36</v>
      </c>
      <c r="I563" s="210" t="s">
        <v>374</v>
      </c>
      <c r="J563" s="33" t="s">
        <v>54</v>
      </c>
      <c r="K563" s="211">
        <v>19.7</v>
      </c>
      <c r="L563" s="29">
        <f>M563-K563</f>
        <v>0</v>
      </c>
      <c r="M563" s="211">
        <v>19.7</v>
      </c>
    </row>
    <row r="564" spans="1:13" s="116" customFormat="1" ht="36" customHeight="1" x14ac:dyDescent="0.35">
      <c r="A564" s="115"/>
      <c r="B564" s="497" t="s">
        <v>347</v>
      </c>
      <c r="C564" s="28" t="s">
        <v>310</v>
      </c>
      <c r="D564" s="33" t="s">
        <v>36</v>
      </c>
      <c r="E564" s="33" t="s">
        <v>69</v>
      </c>
      <c r="F564" s="208" t="s">
        <v>61</v>
      </c>
      <c r="G564" s="209" t="s">
        <v>29</v>
      </c>
      <c r="H564" s="209" t="s">
        <v>38</v>
      </c>
      <c r="I564" s="210" t="s">
        <v>43</v>
      </c>
      <c r="J564" s="24"/>
      <c r="K564" s="211">
        <f t="shared" ref="K564:M565" si="179">K565</f>
        <v>56.3</v>
      </c>
      <c r="L564" s="211">
        <f t="shared" si="179"/>
        <v>0</v>
      </c>
      <c r="M564" s="211">
        <f t="shared" si="179"/>
        <v>56.3</v>
      </c>
    </row>
    <row r="565" spans="1:13" s="116" customFormat="1" ht="54" customHeight="1" x14ac:dyDescent="0.35">
      <c r="A565" s="115"/>
      <c r="B565" s="497" t="s">
        <v>348</v>
      </c>
      <c r="C565" s="28" t="s">
        <v>310</v>
      </c>
      <c r="D565" s="33" t="s">
        <v>36</v>
      </c>
      <c r="E565" s="33" t="s">
        <v>69</v>
      </c>
      <c r="F565" s="208" t="s">
        <v>61</v>
      </c>
      <c r="G565" s="209" t="s">
        <v>29</v>
      </c>
      <c r="H565" s="209" t="s">
        <v>38</v>
      </c>
      <c r="I565" s="210" t="s">
        <v>103</v>
      </c>
      <c r="J565" s="24"/>
      <c r="K565" s="211">
        <f t="shared" si="179"/>
        <v>56.3</v>
      </c>
      <c r="L565" s="211">
        <f t="shared" si="179"/>
        <v>0</v>
      </c>
      <c r="M565" s="211">
        <f t="shared" si="179"/>
        <v>56.3</v>
      </c>
    </row>
    <row r="566" spans="1:13" s="116" customFormat="1" ht="54" customHeight="1" x14ac:dyDescent="0.35">
      <c r="A566" s="115"/>
      <c r="B566" s="497" t="s">
        <v>53</v>
      </c>
      <c r="C566" s="28" t="s">
        <v>310</v>
      </c>
      <c r="D566" s="33" t="s">
        <v>36</v>
      </c>
      <c r="E566" s="33" t="s">
        <v>69</v>
      </c>
      <c r="F566" s="208" t="s">
        <v>61</v>
      </c>
      <c r="G566" s="209" t="s">
        <v>29</v>
      </c>
      <c r="H566" s="209" t="s">
        <v>38</v>
      </c>
      <c r="I566" s="210" t="s">
        <v>103</v>
      </c>
      <c r="J566" s="33" t="s">
        <v>54</v>
      </c>
      <c r="K566" s="211">
        <v>56.3</v>
      </c>
      <c r="L566" s="29">
        <f>M566-K566</f>
        <v>0</v>
      </c>
      <c r="M566" s="211">
        <v>56.3</v>
      </c>
    </row>
    <row r="567" spans="1:13" s="12" customFormat="1" ht="18" customHeight="1" x14ac:dyDescent="0.35">
      <c r="A567" s="16"/>
      <c r="B567" s="546" t="s">
        <v>176</v>
      </c>
      <c r="C567" s="28" t="s">
        <v>310</v>
      </c>
      <c r="D567" s="15" t="s">
        <v>220</v>
      </c>
      <c r="E567" s="15"/>
      <c r="F567" s="676"/>
      <c r="G567" s="677"/>
      <c r="H567" s="677"/>
      <c r="I567" s="678"/>
      <c r="J567" s="15"/>
      <c r="K567" s="29">
        <f>K568+K582</f>
        <v>85858.199999999968</v>
      </c>
      <c r="L567" s="29">
        <f t="shared" ref="L567" si="180">L568+L582</f>
        <v>3397</v>
      </c>
      <c r="M567" s="29">
        <f>M568+M582</f>
        <v>89255.199999999968</v>
      </c>
    </row>
    <row r="568" spans="1:13" s="116" customFormat="1" ht="18" customHeight="1" x14ac:dyDescent="0.35">
      <c r="A568" s="16"/>
      <c r="B568" s="546" t="s">
        <v>345</v>
      </c>
      <c r="C568" s="28" t="s">
        <v>310</v>
      </c>
      <c r="D568" s="15" t="s">
        <v>220</v>
      </c>
      <c r="E568" s="15" t="s">
        <v>61</v>
      </c>
      <c r="F568" s="676"/>
      <c r="G568" s="677"/>
      <c r="H568" s="677"/>
      <c r="I568" s="678"/>
      <c r="J568" s="15"/>
      <c r="K568" s="29">
        <f t="shared" ref="K568:M570" si="181">K569</f>
        <v>85095.599999999962</v>
      </c>
      <c r="L568" s="29">
        <f t="shared" si="181"/>
        <v>3397</v>
      </c>
      <c r="M568" s="29">
        <f t="shared" si="181"/>
        <v>88492.599999999962</v>
      </c>
    </row>
    <row r="569" spans="1:13" s="116" customFormat="1" ht="54" customHeight="1" x14ac:dyDescent="0.35">
      <c r="A569" s="16"/>
      <c r="B569" s="546" t="s">
        <v>210</v>
      </c>
      <c r="C569" s="28" t="s">
        <v>310</v>
      </c>
      <c r="D569" s="15" t="s">
        <v>220</v>
      </c>
      <c r="E569" s="15" t="s">
        <v>61</v>
      </c>
      <c r="F569" s="676" t="s">
        <v>61</v>
      </c>
      <c r="G569" s="677" t="s">
        <v>41</v>
      </c>
      <c r="H569" s="677" t="s">
        <v>42</v>
      </c>
      <c r="I569" s="678" t="s">
        <v>43</v>
      </c>
      <c r="J569" s="15"/>
      <c r="K569" s="29">
        <f t="shared" si="181"/>
        <v>85095.599999999962</v>
      </c>
      <c r="L569" s="29">
        <f t="shared" si="181"/>
        <v>3397</v>
      </c>
      <c r="M569" s="29">
        <f t="shared" si="181"/>
        <v>88492.599999999962</v>
      </c>
    </row>
    <row r="570" spans="1:13" s="116" customFormat="1" ht="72" customHeight="1" x14ac:dyDescent="0.35">
      <c r="A570" s="16"/>
      <c r="B570" s="546" t="s">
        <v>211</v>
      </c>
      <c r="C570" s="28" t="s">
        <v>310</v>
      </c>
      <c r="D570" s="15" t="s">
        <v>220</v>
      </c>
      <c r="E570" s="15" t="s">
        <v>61</v>
      </c>
      <c r="F570" s="676" t="s">
        <v>61</v>
      </c>
      <c r="G570" s="677" t="s">
        <v>44</v>
      </c>
      <c r="H570" s="677" t="s">
        <v>42</v>
      </c>
      <c r="I570" s="678" t="s">
        <v>43</v>
      </c>
      <c r="J570" s="15"/>
      <c r="K570" s="29">
        <f>K571</f>
        <v>85095.599999999962</v>
      </c>
      <c r="L570" s="29">
        <f t="shared" si="181"/>
        <v>3397</v>
      </c>
      <c r="M570" s="29">
        <f>M571</f>
        <v>88492.599999999962</v>
      </c>
    </row>
    <row r="571" spans="1:13" s="116" customFormat="1" ht="36" customHeight="1" x14ac:dyDescent="0.35">
      <c r="A571" s="16"/>
      <c r="B571" s="546" t="s">
        <v>272</v>
      </c>
      <c r="C571" s="28" t="s">
        <v>310</v>
      </c>
      <c r="D571" s="15" t="s">
        <v>220</v>
      </c>
      <c r="E571" s="15" t="s">
        <v>61</v>
      </c>
      <c r="F571" s="676" t="s">
        <v>61</v>
      </c>
      <c r="G571" s="677" t="s">
        <v>44</v>
      </c>
      <c r="H571" s="677" t="s">
        <v>36</v>
      </c>
      <c r="I571" s="678" t="s">
        <v>43</v>
      </c>
      <c r="J571" s="15"/>
      <c r="K571" s="29">
        <f t="shared" ref="K571" si="182">K572+K576+K574+K580</f>
        <v>85095.599999999962</v>
      </c>
      <c r="L571" s="29">
        <f>L572+L576+L574+L580+L578</f>
        <v>3397</v>
      </c>
      <c r="M571" s="29">
        <f>M572+M576+M574+M580+M578</f>
        <v>88492.599999999962</v>
      </c>
    </row>
    <row r="572" spans="1:13" s="116" customFormat="1" ht="36" customHeight="1" x14ac:dyDescent="0.35">
      <c r="A572" s="16"/>
      <c r="B572" s="529" t="s">
        <v>454</v>
      </c>
      <c r="C572" s="28" t="s">
        <v>310</v>
      </c>
      <c r="D572" s="15" t="s">
        <v>220</v>
      </c>
      <c r="E572" s="15" t="s">
        <v>61</v>
      </c>
      <c r="F572" s="676" t="s">
        <v>61</v>
      </c>
      <c r="G572" s="677" t="s">
        <v>44</v>
      </c>
      <c r="H572" s="677" t="s">
        <v>36</v>
      </c>
      <c r="I572" s="678" t="s">
        <v>89</v>
      </c>
      <c r="J572" s="15"/>
      <c r="K572" s="29">
        <f>K573</f>
        <v>67498.39999999998</v>
      </c>
      <c r="L572" s="29">
        <f t="shared" ref="L572" si="183">L573</f>
        <v>2897</v>
      </c>
      <c r="M572" s="29">
        <f>M573</f>
        <v>70395.39999999998</v>
      </c>
    </row>
    <row r="573" spans="1:13" s="12" customFormat="1" ht="54" customHeight="1" x14ac:dyDescent="0.35">
      <c r="A573" s="16"/>
      <c r="B573" s="504" t="s">
        <v>74</v>
      </c>
      <c r="C573" s="28" t="s">
        <v>310</v>
      </c>
      <c r="D573" s="15" t="s">
        <v>220</v>
      </c>
      <c r="E573" s="15" t="s">
        <v>61</v>
      </c>
      <c r="F573" s="676" t="s">
        <v>61</v>
      </c>
      <c r="G573" s="677" t="s">
        <v>44</v>
      </c>
      <c r="H573" s="677" t="s">
        <v>36</v>
      </c>
      <c r="I573" s="678" t="s">
        <v>89</v>
      </c>
      <c r="J573" s="15" t="s">
        <v>75</v>
      </c>
      <c r="K573" s="29">
        <f>65654.9+1241.7+418.5+147.4+35.9</f>
        <v>67498.39999999998</v>
      </c>
      <c r="L573" s="29">
        <f>M573-K573</f>
        <v>2897</v>
      </c>
      <c r="M573" s="29">
        <f>65654.9+1241.7+418.5+147.4+35.9+2897</f>
        <v>70395.39999999998</v>
      </c>
    </row>
    <row r="574" spans="1:13" s="12" customFormat="1" ht="18" customHeight="1" x14ac:dyDescent="0.35">
      <c r="A574" s="16"/>
      <c r="B574" s="504" t="s">
        <v>455</v>
      </c>
      <c r="C574" s="28" t="s">
        <v>310</v>
      </c>
      <c r="D574" s="15" t="s">
        <v>220</v>
      </c>
      <c r="E574" s="15" t="s">
        <v>61</v>
      </c>
      <c r="F574" s="676" t="s">
        <v>61</v>
      </c>
      <c r="G574" s="677" t="s">
        <v>44</v>
      </c>
      <c r="H574" s="677" t="s">
        <v>36</v>
      </c>
      <c r="I574" s="678" t="s">
        <v>376</v>
      </c>
      <c r="J574" s="15"/>
      <c r="K574" s="29">
        <f>K575</f>
        <v>1291.9000000000001</v>
      </c>
      <c r="L574" s="29">
        <f t="shared" ref="L574" si="184">L575</f>
        <v>0</v>
      </c>
      <c r="M574" s="29">
        <f>M575</f>
        <v>1291.9000000000001</v>
      </c>
    </row>
    <row r="575" spans="1:13" s="12" customFormat="1" ht="54" customHeight="1" x14ac:dyDescent="0.35">
      <c r="A575" s="16"/>
      <c r="B575" s="504" t="s">
        <v>74</v>
      </c>
      <c r="C575" s="28" t="s">
        <v>310</v>
      </c>
      <c r="D575" s="15" t="s">
        <v>220</v>
      </c>
      <c r="E575" s="15" t="s">
        <v>61</v>
      </c>
      <c r="F575" s="676" t="s">
        <v>61</v>
      </c>
      <c r="G575" s="677" t="s">
        <v>44</v>
      </c>
      <c r="H575" s="677" t="s">
        <v>36</v>
      </c>
      <c r="I575" s="678" t="s">
        <v>376</v>
      </c>
      <c r="J575" s="15" t="s">
        <v>75</v>
      </c>
      <c r="K575" s="29">
        <f>704.2+47.3+540.4</f>
        <v>1291.9000000000001</v>
      </c>
      <c r="L575" s="29">
        <f>M575-K575</f>
        <v>0</v>
      </c>
      <c r="M575" s="29">
        <f>704.2+47.3+540.4</f>
        <v>1291.9000000000001</v>
      </c>
    </row>
    <row r="576" spans="1:13" s="12" customFormat="1" ht="36" customHeight="1" x14ac:dyDescent="0.35">
      <c r="A576" s="16"/>
      <c r="B576" s="504" t="s">
        <v>311</v>
      </c>
      <c r="C576" s="28" t="s">
        <v>310</v>
      </c>
      <c r="D576" s="15" t="s">
        <v>220</v>
      </c>
      <c r="E576" s="15" t="s">
        <v>61</v>
      </c>
      <c r="F576" s="676" t="s">
        <v>61</v>
      </c>
      <c r="G576" s="677" t="s">
        <v>44</v>
      </c>
      <c r="H576" s="677" t="s">
        <v>36</v>
      </c>
      <c r="I576" s="678" t="s">
        <v>312</v>
      </c>
      <c r="J576" s="15"/>
      <c r="K576" s="29">
        <f>K577</f>
        <v>10223.4</v>
      </c>
      <c r="L576" s="29">
        <f t="shared" ref="L576" si="185">L577</f>
        <v>0</v>
      </c>
      <c r="M576" s="29">
        <f>M577</f>
        <v>10223.4</v>
      </c>
    </row>
    <row r="577" spans="1:13" s="12" customFormat="1" ht="54" customHeight="1" x14ac:dyDescent="0.35">
      <c r="A577" s="16"/>
      <c r="B577" s="504" t="s">
        <v>74</v>
      </c>
      <c r="C577" s="28" t="s">
        <v>310</v>
      </c>
      <c r="D577" s="15" t="s">
        <v>220</v>
      </c>
      <c r="E577" s="15" t="s">
        <v>61</v>
      </c>
      <c r="F577" s="676" t="s">
        <v>61</v>
      </c>
      <c r="G577" s="677" t="s">
        <v>44</v>
      </c>
      <c r="H577" s="677" t="s">
        <v>36</v>
      </c>
      <c r="I577" s="678" t="s">
        <v>312</v>
      </c>
      <c r="J577" s="15" t="s">
        <v>75</v>
      </c>
      <c r="K577" s="29">
        <f>8462.5+553.4+55+52.5+1100</f>
        <v>10223.4</v>
      </c>
      <c r="L577" s="29">
        <f>M577-K577</f>
        <v>0</v>
      </c>
      <c r="M577" s="29">
        <f>8462.5+553.4+55+52.5+1100</f>
        <v>10223.4</v>
      </c>
    </row>
    <row r="578" spans="1:13" s="12" customFormat="1" ht="54" customHeight="1" x14ac:dyDescent="0.35">
      <c r="A578" s="16"/>
      <c r="B578" s="504" t="s">
        <v>673</v>
      </c>
      <c r="C578" s="28" t="s">
        <v>310</v>
      </c>
      <c r="D578" s="15" t="s">
        <v>220</v>
      </c>
      <c r="E578" s="15" t="s">
        <v>61</v>
      </c>
      <c r="F578" s="676" t="s">
        <v>61</v>
      </c>
      <c r="G578" s="677" t="s">
        <v>44</v>
      </c>
      <c r="H578" s="677" t="s">
        <v>36</v>
      </c>
      <c r="I578" s="678" t="s">
        <v>672</v>
      </c>
      <c r="J578" s="15"/>
      <c r="K578" s="29"/>
      <c r="L578" s="29">
        <f>L579</f>
        <v>500</v>
      </c>
      <c r="M578" s="29">
        <f>M579</f>
        <v>500</v>
      </c>
    </row>
    <row r="579" spans="1:13" s="12" customFormat="1" ht="54" customHeight="1" x14ac:dyDescent="0.35">
      <c r="A579" s="16"/>
      <c r="B579" s="504" t="s">
        <v>74</v>
      </c>
      <c r="C579" s="28" t="s">
        <v>310</v>
      </c>
      <c r="D579" s="15" t="s">
        <v>220</v>
      </c>
      <c r="E579" s="15" t="s">
        <v>61</v>
      </c>
      <c r="F579" s="676" t="s">
        <v>61</v>
      </c>
      <c r="G579" s="677" t="s">
        <v>44</v>
      </c>
      <c r="H579" s="677" t="s">
        <v>36</v>
      </c>
      <c r="I579" s="678" t="s">
        <v>672</v>
      </c>
      <c r="J579" s="15" t="s">
        <v>75</v>
      </c>
      <c r="K579" s="29"/>
      <c r="L579" s="29">
        <f>M579-K579</f>
        <v>500</v>
      </c>
      <c r="M579" s="29">
        <v>500</v>
      </c>
    </row>
    <row r="580" spans="1:13" s="12" customFormat="1" ht="198" x14ac:dyDescent="0.35">
      <c r="A580" s="16"/>
      <c r="B580" s="504" t="s">
        <v>612</v>
      </c>
      <c r="C580" s="28" t="s">
        <v>310</v>
      </c>
      <c r="D580" s="15" t="s">
        <v>220</v>
      </c>
      <c r="E580" s="15" t="s">
        <v>61</v>
      </c>
      <c r="F580" s="676" t="s">
        <v>61</v>
      </c>
      <c r="G580" s="677" t="s">
        <v>44</v>
      </c>
      <c r="H580" s="677" t="s">
        <v>36</v>
      </c>
      <c r="I580" s="678" t="s">
        <v>606</v>
      </c>
      <c r="J580" s="15"/>
      <c r="K580" s="29">
        <f>K581</f>
        <v>6081.9</v>
      </c>
      <c r="L580" s="29">
        <f>L581</f>
        <v>0</v>
      </c>
      <c r="M580" s="29">
        <f>M581</f>
        <v>6081.9</v>
      </c>
    </row>
    <row r="581" spans="1:13" s="12" customFormat="1" ht="54" customHeight="1" x14ac:dyDescent="0.35">
      <c r="A581" s="16"/>
      <c r="B581" s="504" t="s">
        <v>74</v>
      </c>
      <c r="C581" s="28" t="s">
        <v>310</v>
      </c>
      <c r="D581" s="15" t="s">
        <v>220</v>
      </c>
      <c r="E581" s="15" t="s">
        <v>61</v>
      </c>
      <c r="F581" s="676" t="s">
        <v>61</v>
      </c>
      <c r="G581" s="677" t="s">
        <v>44</v>
      </c>
      <c r="H581" s="677" t="s">
        <v>36</v>
      </c>
      <c r="I581" s="678" t="s">
        <v>606</v>
      </c>
      <c r="J581" s="15" t="s">
        <v>75</v>
      </c>
      <c r="K581" s="29">
        <f>5473.7+608.2</f>
        <v>6081.9</v>
      </c>
      <c r="L581" s="29">
        <f>M581-K581</f>
        <v>0</v>
      </c>
      <c r="M581" s="29">
        <f>5473.7+608.2</f>
        <v>6081.9</v>
      </c>
    </row>
    <row r="582" spans="1:13" s="12" customFormat="1" ht="18" customHeight="1" x14ac:dyDescent="0.35">
      <c r="A582" s="16"/>
      <c r="B582" s="497" t="s">
        <v>183</v>
      </c>
      <c r="C582" s="28" t="s">
        <v>310</v>
      </c>
      <c r="D582" s="15" t="s">
        <v>220</v>
      </c>
      <c r="E582" s="15" t="s">
        <v>77</v>
      </c>
      <c r="F582" s="676"/>
      <c r="G582" s="677"/>
      <c r="H582" s="677"/>
      <c r="I582" s="678"/>
      <c r="J582" s="15"/>
      <c r="K582" s="29">
        <f t="shared" ref="K582:M586" si="186">K583</f>
        <v>762.6</v>
      </c>
      <c r="L582" s="29">
        <f t="shared" si="186"/>
        <v>0</v>
      </c>
      <c r="M582" s="29">
        <f t="shared" si="186"/>
        <v>762.6</v>
      </c>
    </row>
    <row r="583" spans="1:13" s="12" customFormat="1" ht="54" customHeight="1" x14ac:dyDescent="0.35">
      <c r="A583" s="16"/>
      <c r="B583" s="546" t="s">
        <v>210</v>
      </c>
      <c r="C583" s="28" t="s">
        <v>310</v>
      </c>
      <c r="D583" s="15" t="s">
        <v>220</v>
      </c>
      <c r="E583" s="15" t="s">
        <v>77</v>
      </c>
      <c r="F583" s="676" t="s">
        <v>61</v>
      </c>
      <c r="G583" s="677" t="s">
        <v>41</v>
      </c>
      <c r="H583" s="677" t="s">
        <v>42</v>
      </c>
      <c r="I583" s="678" t="s">
        <v>43</v>
      </c>
      <c r="J583" s="15"/>
      <c r="K583" s="29">
        <f t="shared" si="186"/>
        <v>762.6</v>
      </c>
      <c r="L583" s="29">
        <f t="shared" si="186"/>
        <v>0</v>
      </c>
      <c r="M583" s="29">
        <f t="shared" si="186"/>
        <v>762.6</v>
      </c>
    </row>
    <row r="584" spans="1:13" s="12" customFormat="1" ht="72" customHeight="1" x14ac:dyDescent="0.35">
      <c r="A584" s="16"/>
      <c r="B584" s="546" t="s">
        <v>211</v>
      </c>
      <c r="C584" s="28" t="s">
        <v>310</v>
      </c>
      <c r="D584" s="15" t="s">
        <v>220</v>
      </c>
      <c r="E584" s="15" t="s">
        <v>77</v>
      </c>
      <c r="F584" s="676" t="s">
        <v>61</v>
      </c>
      <c r="G584" s="677" t="s">
        <v>44</v>
      </c>
      <c r="H584" s="677" t="s">
        <v>42</v>
      </c>
      <c r="I584" s="678" t="s">
        <v>43</v>
      </c>
      <c r="J584" s="15"/>
      <c r="K584" s="29">
        <f>K585+K588</f>
        <v>762.6</v>
      </c>
      <c r="L584" s="29">
        <f t="shared" ref="L584" si="187">L585+L588</f>
        <v>0</v>
      </c>
      <c r="M584" s="29">
        <f>M585+M588</f>
        <v>762.6</v>
      </c>
    </row>
    <row r="585" spans="1:13" s="12" customFormat="1" ht="18" customHeight="1" x14ac:dyDescent="0.35">
      <c r="A585" s="16"/>
      <c r="B585" s="504" t="s">
        <v>273</v>
      </c>
      <c r="C585" s="28" t="s">
        <v>310</v>
      </c>
      <c r="D585" s="15" t="s">
        <v>220</v>
      </c>
      <c r="E585" s="15" t="s">
        <v>77</v>
      </c>
      <c r="F585" s="676" t="s">
        <v>61</v>
      </c>
      <c r="G585" s="677" t="s">
        <v>44</v>
      </c>
      <c r="H585" s="677" t="s">
        <v>38</v>
      </c>
      <c r="I585" s="678" t="s">
        <v>43</v>
      </c>
      <c r="J585" s="15"/>
      <c r="K585" s="29">
        <f t="shared" si="186"/>
        <v>450</v>
      </c>
      <c r="L585" s="29">
        <f t="shared" si="186"/>
        <v>0</v>
      </c>
      <c r="M585" s="29">
        <f t="shared" si="186"/>
        <v>450</v>
      </c>
    </row>
    <row r="586" spans="1:13" s="12" customFormat="1" ht="36" customHeight="1" x14ac:dyDescent="0.35">
      <c r="A586" s="16"/>
      <c r="B586" s="504" t="s">
        <v>208</v>
      </c>
      <c r="C586" s="28" t="s">
        <v>310</v>
      </c>
      <c r="D586" s="15" t="s">
        <v>220</v>
      </c>
      <c r="E586" s="15" t="s">
        <v>77</v>
      </c>
      <c r="F586" s="676" t="s">
        <v>61</v>
      </c>
      <c r="G586" s="677" t="s">
        <v>44</v>
      </c>
      <c r="H586" s="677" t="s">
        <v>38</v>
      </c>
      <c r="I586" s="678" t="s">
        <v>275</v>
      </c>
      <c r="J586" s="15"/>
      <c r="K586" s="29">
        <f t="shared" si="186"/>
        <v>450</v>
      </c>
      <c r="L586" s="29">
        <f t="shared" si="186"/>
        <v>0</v>
      </c>
      <c r="M586" s="29">
        <f t="shared" si="186"/>
        <v>450</v>
      </c>
    </row>
    <row r="587" spans="1:13" s="12" customFormat="1" ht="36" customHeight="1" x14ac:dyDescent="0.35">
      <c r="A587" s="16"/>
      <c r="B587" s="504" t="s">
        <v>118</v>
      </c>
      <c r="C587" s="28" t="s">
        <v>310</v>
      </c>
      <c r="D587" s="15" t="s">
        <v>220</v>
      </c>
      <c r="E587" s="15" t="s">
        <v>77</v>
      </c>
      <c r="F587" s="676" t="s">
        <v>61</v>
      </c>
      <c r="G587" s="677" t="s">
        <v>44</v>
      </c>
      <c r="H587" s="677" t="s">
        <v>38</v>
      </c>
      <c r="I587" s="678" t="s">
        <v>275</v>
      </c>
      <c r="J587" s="15" t="s">
        <v>119</v>
      </c>
      <c r="K587" s="29">
        <v>450</v>
      </c>
      <c r="L587" s="29">
        <f>M587-K587</f>
        <v>0</v>
      </c>
      <c r="M587" s="29">
        <v>450</v>
      </c>
    </row>
    <row r="588" spans="1:13" s="12" customFormat="1" ht="54" customHeight="1" x14ac:dyDescent="0.35">
      <c r="A588" s="16"/>
      <c r="B588" s="504" t="s">
        <v>277</v>
      </c>
      <c r="C588" s="28" t="s">
        <v>310</v>
      </c>
      <c r="D588" s="15" t="s">
        <v>220</v>
      </c>
      <c r="E588" s="15" t="s">
        <v>77</v>
      </c>
      <c r="F588" s="676" t="s">
        <v>61</v>
      </c>
      <c r="G588" s="677" t="s">
        <v>44</v>
      </c>
      <c r="H588" s="677" t="s">
        <v>63</v>
      </c>
      <c r="I588" s="678" t="s">
        <v>43</v>
      </c>
      <c r="J588" s="15"/>
      <c r="K588" s="29">
        <f t="shared" ref="K588:M589" si="188">K589</f>
        <v>312.60000000000002</v>
      </c>
      <c r="L588" s="29">
        <f t="shared" si="188"/>
        <v>0</v>
      </c>
      <c r="M588" s="29">
        <f t="shared" si="188"/>
        <v>312.60000000000002</v>
      </c>
    </row>
    <row r="589" spans="1:13" s="12" customFormat="1" ht="36" customHeight="1" x14ac:dyDescent="0.35">
      <c r="A589" s="16"/>
      <c r="B589" s="504" t="s">
        <v>460</v>
      </c>
      <c r="C589" s="28" t="s">
        <v>310</v>
      </c>
      <c r="D589" s="15" t="s">
        <v>220</v>
      </c>
      <c r="E589" s="15" t="s">
        <v>77</v>
      </c>
      <c r="F589" s="676" t="s">
        <v>61</v>
      </c>
      <c r="G589" s="677" t="s">
        <v>44</v>
      </c>
      <c r="H589" s="677" t="s">
        <v>63</v>
      </c>
      <c r="I589" s="678" t="s">
        <v>459</v>
      </c>
      <c r="J589" s="15"/>
      <c r="K589" s="29">
        <f t="shared" si="188"/>
        <v>312.60000000000002</v>
      </c>
      <c r="L589" s="29">
        <f t="shared" si="188"/>
        <v>0</v>
      </c>
      <c r="M589" s="29">
        <f t="shared" si="188"/>
        <v>312.60000000000002</v>
      </c>
    </row>
    <row r="590" spans="1:13" s="12" customFormat="1" ht="54" customHeight="1" x14ac:dyDescent="0.35">
      <c r="A590" s="16"/>
      <c r="B590" s="504" t="s">
        <v>74</v>
      </c>
      <c r="C590" s="28" t="s">
        <v>310</v>
      </c>
      <c r="D590" s="15" t="s">
        <v>220</v>
      </c>
      <c r="E590" s="15" t="s">
        <v>77</v>
      </c>
      <c r="F590" s="676" t="s">
        <v>61</v>
      </c>
      <c r="G590" s="677" t="s">
        <v>44</v>
      </c>
      <c r="H590" s="677" t="s">
        <v>63</v>
      </c>
      <c r="I590" s="678" t="s">
        <v>459</v>
      </c>
      <c r="J590" s="15" t="s">
        <v>75</v>
      </c>
      <c r="K590" s="29">
        <v>312.60000000000002</v>
      </c>
      <c r="L590" s="29">
        <f>M590-K590</f>
        <v>0</v>
      </c>
      <c r="M590" s="29">
        <v>312.60000000000002</v>
      </c>
    </row>
    <row r="591" spans="1:13" s="12" customFormat="1" ht="18" customHeight="1" x14ac:dyDescent="0.35">
      <c r="A591" s="16"/>
      <c r="B591" s="497" t="s">
        <v>185</v>
      </c>
      <c r="C591" s="28" t="s">
        <v>310</v>
      </c>
      <c r="D591" s="15" t="s">
        <v>222</v>
      </c>
      <c r="E591" s="15"/>
      <c r="F591" s="676"/>
      <c r="G591" s="677"/>
      <c r="H591" s="677"/>
      <c r="I591" s="678"/>
      <c r="J591" s="15"/>
      <c r="K591" s="29">
        <f>K592+K620</f>
        <v>52851.600000000006</v>
      </c>
      <c r="L591" s="29">
        <f t="shared" ref="L591" si="189">L592+L620</f>
        <v>698.69999999999959</v>
      </c>
      <c r="M591" s="29">
        <f>M592+M620</f>
        <v>53550.3</v>
      </c>
    </row>
    <row r="592" spans="1:13" s="12" customFormat="1" ht="18" customHeight="1" x14ac:dyDescent="0.35">
      <c r="A592" s="16"/>
      <c r="B592" s="497" t="s">
        <v>187</v>
      </c>
      <c r="C592" s="28" t="s">
        <v>310</v>
      </c>
      <c r="D592" s="15" t="s">
        <v>222</v>
      </c>
      <c r="E592" s="15" t="s">
        <v>36</v>
      </c>
      <c r="F592" s="676"/>
      <c r="G592" s="677"/>
      <c r="H592" s="677"/>
      <c r="I592" s="678"/>
      <c r="J592" s="15"/>
      <c r="K592" s="29">
        <f>K593</f>
        <v>38812.600000000006</v>
      </c>
      <c r="L592" s="29">
        <f t="shared" ref="L592" si="190">L593</f>
        <v>0</v>
      </c>
      <c r="M592" s="29">
        <f>M593</f>
        <v>38812.600000000006</v>
      </c>
    </row>
    <row r="593" spans="1:13" s="12" customFormat="1" ht="54" customHeight="1" x14ac:dyDescent="0.35">
      <c r="A593" s="16"/>
      <c r="B593" s="546" t="s">
        <v>210</v>
      </c>
      <c r="C593" s="28" t="s">
        <v>310</v>
      </c>
      <c r="D593" s="15" t="s">
        <v>222</v>
      </c>
      <c r="E593" s="15" t="s">
        <v>36</v>
      </c>
      <c r="F593" s="676" t="s">
        <v>61</v>
      </c>
      <c r="G593" s="677" t="s">
        <v>41</v>
      </c>
      <c r="H593" s="677" t="s">
        <v>42</v>
      </c>
      <c r="I593" s="678" t="s">
        <v>43</v>
      </c>
      <c r="J593" s="15"/>
      <c r="K593" s="29">
        <f>K594+K613</f>
        <v>38812.600000000006</v>
      </c>
      <c r="L593" s="29">
        <f t="shared" ref="L593" si="191">L594+L613</f>
        <v>0</v>
      </c>
      <c r="M593" s="29">
        <f>M594+M613</f>
        <v>38812.600000000006</v>
      </c>
    </row>
    <row r="594" spans="1:13" s="12" customFormat="1" ht="72" customHeight="1" x14ac:dyDescent="0.35">
      <c r="A594" s="16"/>
      <c r="B594" s="546" t="s">
        <v>211</v>
      </c>
      <c r="C594" s="28" t="s">
        <v>310</v>
      </c>
      <c r="D594" s="15" t="s">
        <v>222</v>
      </c>
      <c r="E594" s="15" t="s">
        <v>36</v>
      </c>
      <c r="F594" s="32" t="s">
        <v>61</v>
      </c>
      <c r="G594" s="93" t="s">
        <v>44</v>
      </c>
      <c r="H594" s="93" t="s">
        <v>42</v>
      </c>
      <c r="I594" s="94" t="s">
        <v>43</v>
      </c>
      <c r="J594" s="95"/>
      <c r="K594" s="29">
        <f>K595+K606</f>
        <v>35803.600000000006</v>
      </c>
      <c r="L594" s="29">
        <f t="shared" ref="L594" si="192">L595+L606</f>
        <v>0</v>
      </c>
      <c r="M594" s="29">
        <f>M595+M606</f>
        <v>35803.600000000006</v>
      </c>
    </row>
    <row r="595" spans="1:13" s="12" customFormat="1" ht="18" customHeight="1" x14ac:dyDescent="0.35">
      <c r="A595" s="16"/>
      <c r="B595" s="497" t="s">
        <v>313</v>
      </c>
      <c r="C595" s="28" t="s">
        <v>310</v>
      </c>
      <c r="D595" s="15" t="s">
        <v>222</v>
      </c>
      <c r="E595" s="15" t="s">
        <v>36</v>
      </c>
      <c r="F595" s="32" t="s">
        <v>61</v>
      </c>
      <c r="G595" s="93" t="s">
        <v>44</v>
      </c>
      <c r="H595" s="93" t="s">
        <v>61</v>
      </c>
      <c r="I595" s="94" t="s">
        <v>43</v>
      </c>
      <c r="J595" s="95"/>
      <c r="K595" s="29">
        <f>K596+K598+K600+K602+K604</f>
        <v>18848.300000000003</v>
      </c>
      <c r="L595" s="29">
        <f t="shared" ref="L595" si="193">L596+L598+L600+L602+L604</f>
        <v>0</v>
      </c>
      <c r="M595" s="29">
        <f>M596+M598+M600+M602+M604</f>
        <v>18848.300000000003</v>
      </c>
    </row>
    <row r="596" spans="1:13" s="12" customFormat="1" ht="36" customHeight="1" x14ac:dyDescent="0.35">
      <c r="A596" s="16"/>
      <c r="B596" s="529" t="s">
        <v>454</v>
      </c>
      <c r="C596" s="28" t="s">
        <v>310</v>
      </c>
      <c r="D596" s="15" t="s">
        <v>222</v>
      </c>
      <c r="E596" s="15" t="s">
        <v>36</v>
      </c>
      <c r="F596" s="32" t="s">
        <v>61</v>
      </c>
      <c r="G596" s="93" t="s">
        <v>44</v>
      </c>
      <c r="H596" s="93" t="s">
        <v>61</v>
      </c>
      <c r="I596" s="94" t="s">
        <v>89</v>
      </c>
      <c r="J596" s="95"/>
      <c r="K596" s="29">
        <f>K597</f>
        <v>15939.5</v>
      </c>
      <c r="L596" s="29">
        <f t="shared" ref="L596" si="194">L597</f>
        <v>0</v>
      </c>
      <c r="M596" s="29">
        <f>M597</f>
        <v>15939.5</v>
      </c>
    </row>
    <row r="597" spans="1:13" s="12" customFormat="1" ht="54" customHeight="1" x14ac:dyDescent="0.35">
      <c r="A597" s="16"/>
      <c r="B597" s="504" t="s">
        <v>74</v>
      </c>
      <c r="C597" s="28" t="s">
        <v>310</v>
      </c>
      <c r="D597" s="15" t="s">
        <v>222</v>
      </c>
      <c r="E597" s="15" t="s">
        <v>36</v>
      </c>
      <c r="F597" s="676" t="s">
        <v>61</v>
      </c>
      <c r="G597" s="677" t="s">
        <v>44</v>
      </c>
      <c r="H597" s="677" t="s">
        <v>61</v>
      </c>
      <c r="I597" s="678" t="s">
        <v>89</v>
      </c>
      <c r="J597" s="15" t="s">
        <v>75</v>
      </c>
      <c r="K597" s="29">
        <f>15582.2+357.3</f>
        <v>15939.5</v>
      </c>
      <c r="L597" s="29">
        <f>M597-K597</f>
        <v>0</v>
      </c>
      <c r="M597" s="29">
        <f>15582.2+357.3</f>
        <v>15939.5</v>
      </c>
    </row>
    <row r="598" spans="1:13" s="12" customFormat="1" ht="18" customHeight="1" x14ac:dyDescent="0.35">
      <c r="A598" s="16"/>
      <c r="B598" s="503" t="s">
        <v>455</v>
      </c>
      <c r="C598" s="28" t="s">
        <v>310</v>
      </c>
      <c r="D598" s="15" t="s">
        <v>222</v>
      </c>
      <c r="E598" s="15" t="s">
        <v>36</v>
      </c>
      <c r="F598" s="676" t="s">
        <v>61</v>
      </c>
      <c r="G598" s="677" t="s">
        <v>44</v>
      </c>
      <c r="H598" s="677" t="s">
        <v>61</v>
      </c>
      <c r="I598" s="678" t="s">
        <v>376</v>
      </c>
      <c r="J598" s="15"/>
      <c r="K598" s="29">
        <f>K599</f>
        <v>1169.9000000000001</v>
      </c>
      <c r="L598" s="29">
        <f t="shared" ref="L598" si="195">L599</f>
        <v>0</v>
      </c>
      <c r="M598" s="29">
        <f>M599</f>
        <v>1169.9000000000001</v>
      </c>
    </row>
    <row r="599" spans="1:13" s="12" customFormat="1" ht="54" customHeight="1" x14ac:dyDescent="0.35">
      <c r="A599" s="16"/>
      <c r="B599" s="504" t="s">
        <v>74</v>
      </c>
      <c r="C599" s="28" t="s">
        <v>310</v>
      </c>
      <c r="D599" s="15" t="s">
        <v>222</v>
      </c>
      <c r="E599" s="15" t="s">
        <v>36</v>
      </c>
      <c r="F599" s="676" t="s">
        <v>61</v>
      </c>
      <c r="G599" s="677" t="s">
        <v>44</v>
      </c>
      <c r="H599" s="677" t="s">
        <v>61</v>
      </c>
      <c r="I599" s="678" t="s">
        <v>376</v>
      </c>
      <c r="J599" s="15" t="s">
        <v>75</v>
      </c>
      <c r="K599" s="29">
        <f>1093.2+76.7</f>
        <v>1169.9000000000001</v>
      </c>
      <c r="L599" s="29">
        <f>M599-K599</f>
        <v>0</v>
      </c>
      <c r="M599" s="29">
        <f>1093.2+76.7</f>
        <v>1169.9000000000001</v>
      </c>
    </row>
    <row r="600" spans="1:13" s="12" customFormat="1" ht="36" customHeight="1" x14ac:dyDescent="0.35">
      <c r="A600" s="16"/>
      <c r="B600" s="504" t="s">
        <v>311</v>
      </c>
      <c r="C600" s="28" t="s">
        <v>310</v>
      </c>
      <c r="D600" s="15" t="s">
        <v>222</v>
      </c>
      <c r="E600" s="15" t="s">
        <v>36</v>
      </c>
      <c r="F600" s="32" t="s">
        <v>61</v>
      </c>
      <c r="G600" s="93" t="s">
        <v>44</v>
      </c>
      <c r="H600" s="93" t="s">
        <v>61</v>
      </c>
      <c r="I600" s="94" t="s">
        <v>312</v>
      </c>
      <c r="J600" s="95"/>
      <c r="K600" s="29">
        <f>K601</f>
        <v>722.9</v>
      </c>
      <c r="L600" s="29">
        <f t="shared" ref="L600" si="196">L601</f>
        <v>0</v>
      </c>
      <c r="M600" s="29">
        <f>M601</f>
        <v>722.9</v>
      </c>
    </row>
    <row r="601" spans="1:13" s="12" customFormat="1" ht="54" customHeight="1" x14ac:dyDescent="0.35">
      <c r="A601" s="16"/>
      <c r="B601" s="504" t="s">
        <v>74</v>
      </c>
      <c r="C601" s="28" t="s">
        <v>310</v>
      </c>
      <c r="D601" s="15" t="s">
        <v>222</v>
      </c>
      <c r="E601" s="15" t="s">
        <v>36</v>
      </c>
      <c r="F601" s="32" t="s">
        <v>61</v>
      </c>
      <c r="G601" s="93" t="s">
        <v>44</v>
      </c>
      <c r="H601" s="93" t="s">
        <v>61</v>
      </c>
      <c r="I601" s="94" t="s">
        <v>312</v>
      </c>
      <c r="J601" s="95" t="s">
        <v>75</v>
      </c>
      <c r="K601" s="29">
        <f>698.3+24.6</f>
        <v>722.9</v>
      </c>
      <c r="L601" s="29">
        <f>M601-K601</f>
        <v>0</v>
      </c>
      <c r="M601" s="29">
        <f>698.3+24.6</f>
        <v>722.9</v>
      </c>
    </row>
    <row r="602" spans="1:13" s="12" customFormat="1" ht="36" x14ac:dyDescent="0.35">
      <c r="A602" s="16"/>
      <c r="B602" s="504" t="s">
        <v>609</v>
      </c>
      <c r="C602" s="28" t="s">
        <v>310</v>
      </c>
      <c r="D602" s="15" t="s">
        <v>222</v>
      </c>
      <c r="E602" s="15" t="s">
        <v>36</v>
      </c>
      <c r="F602" s="676" t="s">
        <v>61</v>
      </c>
      <c r="G602" s="677" t="s">
        <v>44</v>
      </c>
      <c r="H602" s="677" t="s">
        <v>61</v>
      </c>
      <c r="I602" s="678" t="s">
        <v>314</v>
      </c>
      <c r="J602" s="15"/>
      <c r="K602" s="29">
        <f>K603</f>
        <v>577</v>
      </c>
      <c r="L602" s="29">
        <f t="shared" ref="L602" si="197">L603</f>
        <v>0</v>
      </c>
      <c r="M602" s="29">
        <f>M603</f>
        <v>577</v>
      </c>
    </row>
    <row r="603" spans="1:13" s="12" customFormat="1" ht="54" customHeight="1" x14ac:dyDescent="0.35">
      <c r="A603" s="16"/>
      <c r="B603" s="504" t="s">
        <v>74</v>
      </c>
      <c r="C603" s="28" t="s">
        <v>310</v>
      </c>
      <c r="D603" s="15" t="s">
        <v>222</v>
      </c>
      <c r="E603" s="15" t="s">
        <v>36</v>
      </c>
      <c r="F603" s="676" t="s">
        <v>61</v>
      </c>
      <c r="G603" s="677" t="s">
        <v>44</v>
      </c>
      <c r="H603" s="677" t="s">
        <v>61</v>
      </c>
      <c r="I603" s="678" t="s">
        <v>314</v>
      </c>
      <c r="J603" s="15" t="s">
        <v>75</v>
      </c>
      <c r="K603" s="29">
        <v>577</v>
      </c>
      <c r="L603" s="29">
        <f>M603-K603</f>
        <v>0</v>
      </c>
      <c r="M603" s="29">
        <v>577</v>
      </c>
    </row>
    <row r="604" spans="1:13" s="12" customFormat="1" ht="18" customHeight="1" x14ac:dyDescent="0.35">
      <c r="A604" s="16"/>
      <c r="B604" s="504" t="s">
        <v>520</v>
      </c>
      <c r="C604" s="28" t="s">
        <v>310</v>
      </c>
      <c r="D604" s="15" t="s">
        <v>222</v>
      </c>
      <c r="E604" s="15" t="s">
        <v>36</v>
      </c>
      <c r="F604" s="676" t="s">
        <v>61</v>
      </c>
      <c r="G604" s="677" t="s">
        <v>44</v>
      </c>
      <c r="H604" s="677" t="s">
        <v>61</v>
      </c>
      <c r="I604" s="678" t="s">
        <v>519</v>
      </c>
      <c r="J604" s="15"/>
      <c r="K604" s="29">
        <f>K605</f>
        <v>439</v>
      </c>
      <c r="L604" s="29">
        <f t="shared" ref="L604" si="198">L605</f>
        <v>0</v>
      </c>
      <c r="M604" s="29">
        <f>M605</f>
        <v>439</v>
      </c>
    </row>
    <row r="605" spans="1:13" s="12" customFormat="1" ht="54" customHeight="1" x14ac:dyDescent="0.35">
      <c r="A605" s="16"/>
      <c r="B605" s="504" t="s">
        <v>74</v>
      </c>
      <c r="C605" s="28" t="s">
        <v>310</v>
      </c>
      <c r="D605" s="15" t="s">
        <v>222</v>
      </c>
      <c r="E605" s="15" t="s">
        <v>36</v>
      </c>
      <c r="F605" s="676" t="s">
        <v>61</v>
      </c>
      <c r="G605" s="677" t="s">
        <v>44</v>
      </c>
      <c r="H605" s="677" t="s">
        <v>61</v>
      </c>
      <c r="I605" s="678" t="s">
        <v>519</v>
      </c>
      <c r="J605" s="15" t="s">
        <v>75</v>
      </c>
      <c r="K605" s="29">
        <f>395.1+43.9</f>
        <v>439</v>
      </c>
      <c r="L605" s="29">
        <f>M605-K605</f>
        <v>0</v>
      </c>
      <c r="M605" s="29">
        <f>395.1+43.9</f>
        <v>439</v>
      </c>
    </row>
    <row r="606" spans="1:13" s="12" customFormat="1" ht="36" customHeight="1" x14ac:dyDescent="0.35">
      <c r="A606" s="16"/>
      <c r="B606" s="504" t="s">
        <v>315</v>
      </c>
      <c r="C606" s="28" t="s">
        <v>310</v>
      </c>
      <c r="D606" s="15" t="s">
        <v>222</v>
      </c>
      <c r="E606" s="15" t="s">
        <v>36</v>
      </c>
      <c r="F606" s="32" t="s">
        <v>61</v>
      </c>
      <c r="G606" s="93" t="s">
        <v>44</v>
      </c>
      <c r="H606" s="93" t="s">
        <v>50</v>
      </c>
      <c r="I606" s="678" t="s">
        <v>43</v>
      </c>
      <c r="J606" s="15"/>
      <c r="K606" s="29">
        <f>K607+K611</f>
        <v>16955.3</v>
      </c>
      <c r="L606" s="29">
        <f>L607+L611</f>
        <v>0</v>
      </c>
      <c r="M606" s="29">
        <f>M607+M611</f>
        <v>16955.3</v>
      </c>
    </row>
    <row r="607" spans="1:13" s="12" customFormat="1" ht="36" customHeight="1" x14ac:dyDescent="0.35">
      <c r="A607" s="16"/>
      <c r="B607" s="529" t="s">
        <v>454</v>
      </c>
      <c r="C607" s="28" t="s">
        <v>310</v>
      </c>
      <c r="D607" s="15" t="s">
        <v>222</v>
      </c>
      <c r="E607" s="15" t="s">
        <v>36</v>
      </c>
      <c r="F607" s="32" t="s">
        <v>61</v>
      </c>
      <c r="G607" s="93" t="s">
        <v>44</v>
      </c>
      <c r="H607" s="93" t="s">
        <v>50</v>
      </c>
      <c r="I607" s="94" t="s">
        <v>89</v>
      </c>
      <c r="J607" s="95"/>
      <c r="K607" s="29">
        <f>K608+K609+K610</f>
        <v>16633.7</v>
      </c>
      <c r="L607" s="29">
        <f t="shared" ref="L607" si="199">L608+L609+L610</f>
        <v>266.29999999999995</v>
      </c>
      <c r="M607" s="29">
        <f>M608+M609+M610</f>
        <v>16900</v>
      </c>
    </row>
    <row r="608" spans="1:13" s="12" customFormat="1" ht="108" customHeight="1" x14ac:dyDescent="0.35">
      <c r="A608" s="16"/>
      <c r="B608" s="497" t="s">
        <v>48</v>
      </c>
      <c r="C608" s="28" t="s">
        <v>310</v>
      </c>
      <c r="D608" s="15" t="s">
        <v>222</v>
      </c>
      <c r="E608" s="15" t="s">
        <v>36</v>
      </c>
      <c r="F608" s="676" t="s">
        <v>61</v>
      </c>
      <c r="G608" s="677" t="s">
        <v>44</v>
      </c>
      <c r="H608" s="677" t="s">
        <v>50</v>
      </c>
      <c r="I608" s="678" t="s">
        <v>89</v>
      </c>
      <c r="J608" s="15" t="s">
        <v>49</v>
      </c>
      <c r="K608" s="29">
        <f>15034.6+296.4</f>
        <v>15331</v>
      </c>
      <c r="L608" s="29">
        <f>M608-K608</f>
        <v>0</v>
      </c>
      <c r="M608" s="29">
        <f>15034.6+296.4</f>
        <v>15331</v>
      </c>
    </row>
    <row r="609" spans="1:13" s="12" customFormat="1" ht="54" customHeight="1" x14ac:dyDescent="0.35">
      <c r="A609" s="16"/>
      <c r="B609" s="497" t="s">
        <v>53</v>
      </c>
      <c r="C609" s="28" t="s">
        <v>310</v>
      </c>
      <c r="D609" s="15" t="s">
        <v>222</v>
      </c>
      <c r="E609" s="15" t="s">
        <v>36</v>
      </c>
      <c r="F609" s="676" t="s">
        <v>61</v>
      </c>
      <c r="G609" s="677" t="s">
        <v>44</v>
      </c>
      <c r="H609" s="677" t="s">
        <v>50</v>
      </c>
      <c r="I609" s="678" t="s">
        <v>89</v>
      </c>
      <c r="J609" s="15" t="s">
        <v>54</v>
      </c>
      <c r="K609" s="29">
        <f>1168.5+84.2</f>
        <v>1252.7</v>
      </c>
      <c r="L609" s="29">
        <f>M609-K609</f>
        <v>266.29999999999995</v>
      </c>
      <c r="M609" s="29">
        <f>1168.5+84.2+266.3</f>
        <v>1519</v>
      </c>
    </row>
    <row r="610" spans="1:13" s="12" customFormat="1" ht="18" customHeight="1" x14ac:dyDescent="0.35">
      <c r="A610" s="16"/>
      <c r="B610" s="497" t="s">
        <v>55</v>
      </c>
      <c r="C610" s="28" t="s">
        <v>310</v>
      </c>
      <c r="D610" s="15" t="s">
        <v>222</v>
      </c>
      <c r="E610" s="15" t="s">
        <v>36</v>
      </c>
      <c r="F610" s="676" t="s">
        <v>61</v>
      </c>
      <c r="G610" s="677" t="s">
        <v>44</v>
      </c>
      <c r="H610" s="677" t="s">
        <v>50</v>
      </c>
      <c r="I610" s="678" t="s">
        <v>89</v>
      </c>
      <c r="J610" s="15" t="s">
        <v>56</v>
      </c>
      <c r="K610" s="29">
        <v>50</v>
      </c>
      <c r="L610" s="29">
        <f>M610-K610</f>
        <v>0</v>
      </c>
      <c r="M610" s="29">
        <v>50</v>
      </c>
    </row>
    <row r="611" spans="1:13" s="12" customFormat="1" ht="18" x14ac:dyDescent="0.35">
      <c r="A611" s="16"/>
      <c r="B611" s="503" t="s">
        <v>455</v>
      </c>
      <c r="C611" s="28" t="s">
        <v>310</v>
      </c>
      <c r="D611" s="15" t="s">
        <v>222</v>
      </c>
      <c r="E611" s="15" t="s">
        <v>36</v>
      </c>
      <c r="F611" s="676" t="s">
        <v>61</v>
      </c>
      <c r="G611" s="677" t="s">
        <v>44</v>
      </c>
      <c r="H611" s="677" t="s">
        <v>50</v>
      </c>
      <c r="I611" s="678" t="s">
        <v>376</v>
      </c>
      <c r="J611" s="15"/>
      <c r="K611" s="29">
        <f>K612</f>
        <v>321.60000000000002</v>
      </c>
      <c r="L611" s="29">
        <f>L612</f>
        <v>-266.3</v>
      </c>
      <c r="M611" s="29">
        <f>M612</f>
        <v>55.300000000000011</v>
      </c>
    </row>
    <row r="612" spans="1:13" s="12" customFormat="1" ht="54" x14ac:dyDescent="0.35">
      <c r="A612" s="16"/>
      <c r="B612" s="497" t="s">
        <v>53</v>
      </c>
      <c r="C612" s="28" t="s">
        <v>310</v>
      </c>
      <c r="D612" s="15" t="s">
        <v>222</v>
      </c>
      <c r="E612" s="15" t="s">
        <v>36</v>
      </c>
      <c r="F612" s="676" t="s">
        <v>61</v>
      </c>
      <c r="G612" s="677" t="s">
        <v>44</v>
      </c>
      <c r="H612" s="677" t="s">
        <v>50</v>
      </c>
      <c r="I612" s="678" t="s">
        <v>376</v>
      </c>
      <c r="J612" s="15" t="s">
        <v>54</v>
      </c>
      <c r="K612" s="29">
        <f>55.3+266.3</f>
        <v>321.60000000000002</v>
      </c>
      <c r="L612" s="29">
        <f>M612-K612</f>
        <v>-266.3</v>
      </c>
      <c r="M612" s="29">
        <f>55.3+266.3-266.3</f>
        <v>55.300000000000011</v>
      </c>
    </row>
    <row r="613" spans="1:13" s="12" customFormat="1" ht="54" customHeight="1" x14ac:dyDescent="0.35">
      <c r="A613" s="16"/>
      <c r="B613" s="497" t="s">
        <v>323</v>
      </c>
      <c r="C613" s="28" t="s">
        <v>310</v>
      </c>
      <c r="D613" s="15" t="s">
        <v>222</v>
      </c>
      <c r="E613" s="15" t="s">
        <v>36</v>
      </c>
      <c r="F613" s="32" t="s">
        <v>61</v>
      </c>
      <c r="G613" s="93" t="s">
        <v>87</v>
      </c>
      <c r="H613" s="93" t="s">
        <v>42</v>
      </c>
      <c r="I613" s="678" t="s">
        <v>43</v>
      </c>
      <c r="J613" s="15"/>
      <c r="K613" s="29">
        <f>K614</f>
        <v>3009</v>
      </c>
      <c r="L613" s="29">
        <f t="shared" ref="L613" si="200">L614</f>
        <v>0</v>
      </c>
      <c r="M613" s="29">
        <f>M614</f>
        <v>3009</v>
      </c>
    </row>
    <row r="614" spans="1:13" s="12" customFormat="1" ht="90" customHeight="1" x14ac:dyDescent="0.35">
      <c r="A614" s="16"/>
      <c r="B614" s="504" t="s">
        <v>316</v>
      </c>
      <c r="C614" s="28" t="s">
        <v>310</v>
      </c>
      <c r="D614" s="15" t="s">
        <v>222</v>
      </c>
      <c r="E614" s="15" t="s">
        <v>36</v>
      </c>
      <c r="F614" s="32" t="s">
        <v>61</v>
      </c>
      <c r="G614" s="93" t="s">
        <v>87</v>
      </c>
      <c r="H614" s="93" t="s">
        <v>61</v>
      </c>
      <c r="I614" s="678" t="s">
        <v>43</v>
      </c>
      <c r="J614" s="15"/>
      <c r="K614" s="29">
        <f>K615+K618</f>
        <v>3009</v>
      </c>
      <c r="L614" s="29">
        <f t="shared" ref="L614" si="201">L615+L618</f>
        <v>0</v>
      </c>
      <c r="M614" s="29">
        <f>M615+M618</f>
        <v>3009</v>
      </c>
    </row>
    <row r="615" spans="1:13" s="12" customFormat="1" ht="36" customHeight="1" x14ac:dyDescent="0.35">
      <c r="A615" s="16"/>
      <c r="B615" s="504" t="s">
        <v>311</v>
      </c>
      <c r="C615" s="28" t="s">
        <v>310</v>
      </c>
      <c r="D615" s="15" t="s">
        <v>222</v>
      </c>
      <c r="E615" s="15" t="s">
        <v>36</v>
      </c>
      <c r="F615" s="32" t="s">
        <v>61</v>
      </c>
      <c r="G615" s="93" t="s">
        <v>87</v>
      </c>
      <c r="H615" s="93" t="s">
        <v>61</v>
      </c>
      <c r="I615" s="94" t="s">
        <v>312</v>
      </c>
      <c r="J615" s="95"/>
      <c r="K615" s="29">
        <f>K617+K616</f>
        <v>2964.6</v>
      </c>
      <c r="L615" s="29">
        <f t="shared" ref="L615" si="202">L617+L616</f>
        <v>0</v>
      </c>
      <c r="M615" s="29">
        <f>M617+M616</f>
        <v>2964.6</v>
      </c>
    </row>
    <row r="616" spans="1:13" s="12" customFormat="1" ht="54" customHeight="1" x14ac:dyDescent="0.35">
      <c r="A616" s="16"/>
      <c r="B616" s="504" t="s">
        <v>53</v>
      </c>
      <c r="C616" s="28" t="s">
        <v>310</v>
      </c>
      <c r="D616" s="15" t="s">
        <v>222</v>
      </c>
      <c r="E616" s="15" t="s">
        <v>36</v>
      </c>
      <c r="F616" s="32" t="s">
        <v>61</v>
      </c>
      <c r="G616" s="93" t="s">
        <v>87</v>
      </c>
      <c r="H616" s="93" t="s">
        <v>61</v>
      </c>
      <c r="I616" s="94" t="s">
        <v>312</v>
      </c>
      <c r="J616" s="95" t="s">
        <v>54</v>
      </c>
      <c r="K616" s="29">
        <f>405.2+29.7+476.7+2037.5</f>
        <v>2949.1</v>
      </c>
      <c r="L616" s="29">
        <f>M616-K616</f>
        <v>0</v>
      </c>
      <c r="M616" s="29">
        <f>405.2+29.7+476.7+2037.5</f>
        <v>2949.1</v>
      </c>
    </row>
    <row r="617" spans="1:13" s="12" customFormat="1" ht="54" customHeight="1" x14ac:dyDescent="0.35">
      <c r="A617" s="16"/>
      <c r="B617" s="504" t="s">
        <v>74</v>
      </c>
      <c r="C617" s="28" t="s">
        <v>310</v>
      </c>
      <c r="D617" s="15" t="s">
        <v>222</v>
      </c>
      <c r="E617" s="15" t="s">
        <v>36</v>
      </c>
      <c r="F617" s="676" t="s">
        <v>61</v>
      </c>
      <c r="G617" s="677" t="s">
        <v>87</v>
      </c>
      <c r="H617" s="677" t="s">
        <v>61</v>
      </c>
      <c r="I617" s="678" t="s">
        <v>312</v>
      </c>
      <c r="J617" s="15" t="s">
        <v>75</v>
      </c>
      <c r="K617" s="29">
        <v>15.5</v>
      </c>
      <c r="L617" s="29">
        <f>M617-K617</f>
        <v>0</v>
      </c>
      <c r="M617" s="29">
        <v>15.5</v>
      </c>
    </row>
    <row r="618" spans="1:13" s="12" customFormat="1" ht="306" customHeight="1" x14ac:dyDescent="0.35">
      <c r="A618" s="16"/>
      <c r="B618" s="504" t="s">
        <v>590</v>
      </c>
      <c r="C618" s="28" t="s">
        <v>310</v>
      </c>
      <c r="D618" s="15" t="s">
        <v>222</v>
      </c>
      <c r="E618" s="15" t="s">
        <v>36</v>
      </c>
      <c r="F618" s="676" t="s">
        <v>61</v>
      </c>
      <c r="G618" s="677" t="s">
        <v>87</v>
      </c>
      <c r="H618" s="677" t="s">
        <v>61</v>
      </c>
      <c r="I618" s="678" t="s">
        <v>407</v>
      </c>
      <c r="J618" s="15"/>
      <c r="K618" s="29">
        <f>K619</f>
        <v>44.4</v>
      </c>
      <c r="L618" s="29">
        <f t="shared" ref="L618" si="203">L619</f>
        <v>0</v>
      </c>
      <c r="M618" s="29">
        <f>M619</f>
        <v>44.4</v>
      </c>
    </row>
    <row r="619" spans="1:13" s="12" customFormat="1" ht="54" customHeight="1" x14ac:dyDescent="0.35">
      <c r="A619" s="16"/>
      <c r="B619" s="504" t="s">
        <v>74</v>
      </c>
      <c r="C619" s="28" t="s">
        <v>310</v>
      </c>
      <c r="D619" s="15" t="s">
        <v>222</v>
      </c>
      <c r="E619" s="15" t="s">
        <v>36</v>
      </c>
      <c r="F619" s="676" t="s">
        <v>61</v>
      </c>
      <c r="G619" s="677" t="s">
        <v>87</v>
      </c>
      <c r="H619" s="677" t="s">
        <v>61</v>
      </c>
      <c r="I619" s="678" t="s">
        <v>407</v>
      </c>
      <c r="J619" s="15" t="s">
        <v>75</v>
      </c>
      <c r="K619" s="29">
        <f>4.4+40</f>
        <v>44.4</v>
      </c>
      <c r="L619" s="29">
        <f>M619-K619</f>
        <v>0</v>
      </c>
      <c r="M619" s="29">
        <f>4.4+40</f>
        <v>44.4</v>
      </c>
    </row>
    <row r="620" spans="1:13" s="12" customFormat="1" ht="36" customHeight="1" x14ac:dyDescent="0.35">
      <c r="A620" s="16"/>
      <c r="B620" s="497" t="s">
        <v>317</v>
      </c>
      <c r="C620" s="28" t="s">
        <v>310</v>
      </c>
      <c r="D620" s="15" t="s">
        <v>222</v>
      </c>
      <c r="E620" s="15" t="s">
        <v>50</v>
      </c>
      <c r="F620" s="32"/>
      <c r="G620" s="93"/>
      <c r="H620" s="93"/>
      <c r="I620" s="94"/>
      <c r="J620" s="95"/>
      <c r="K620" s="29">
        <f>K621</f>
        <v>14039</v>
      </c>
      <c r="L620" s="29">
        <f t="shared" ref="L620" si="204">L621</f>
        <v>698.69999999999959</v>
      </c>
      <c r="M620" s="29">
        <f>M621</f>
        <v>14737.699999999997</v>
      </c>
    </row>
    <row r="621" spans="1:13" s="12" customFormat="1" ht="54" customHeight="1" x14ac:dyDescent="0.35">
      <c r="A621" s="16"/>
      <c r="B621" s="546" t="s">
        <v>210</v>
      </c>
      <c r="C621" s="28" t="s">
        <v>310</v>
      </c>
      <c r="D621" s="15" t="s">
        <v>222</v>
      </c>
      <c r="E621" s="15" t="s">
        <v>50</v>
      </c>
      <c r="F621" s="32" t="s">
        <v>61</v>
      </c>
      <c r="G621" s="93" t="s">
        <v>41</v>
      </c>
      <c r="H621" s="93" t="s">
        <v>42</v>
      </c>
      <c r="I621" s="94" t="s">
        <v>43</v>
      </c>
      <c r="J621" s="95"/>
      <c r="K621" s="29">
        <f>K626+K622</f>
        <v>14039</v>
      </c>
      <c r="L621" s="29">
        <f t="shared" ref="L621" si="205">L626+L622</f>
        <v>698.69999999999959</v>
      </c>
      <c r="M621" s="29">
        <f>M626+M622</f>
        <v>14737.699999999997</v>
      </c>
    </row>
    <row r="622" spans="1:13" s="12" customFormat="1" ht="54" customHeight="1" x14ac:dyDescent="0.35">
      <c r="A622" s="16"/>
      <c r="B622" s="497" t="s">
        <v>323</v>
      </c>
      <c r="C622" s="28" t="s">
        <v>310</v>
      </c>
      <c r="D622" s="15" t="s">
        <v>222</v>
      </c>
      <c r="E622" s="15" t="s">
        <v>50</v>
      </c>
      <c r="F622" s="676" t="s">
        <v>61</v>
      </c>
      <c r="G622" s="677" t="s">
        <v>87</v>
      </c>
      <c r="H622" s="677" t="s">
        <v>42</v>
      </c>
      <c r="I622" s="678" t="s">
        <v>43</v>
      </c>
      <c r="J622" s="15"/>
      <c r="K622" s="29">
        <f t="shared" ref="K622:M624" si="206">K623</f>
        <v>947.8</v>
      </c>
      <c r="L622" s="29">
        <f t="shared" si="206"/>
        <v>200</v>
      </c>
      <c r="M622" s="29">
        <f t="shared" si="206"/>
        <v>1147.8</v>
      </c>
    </row>
    <row r="623" spans="1:13" s="12" customFormat="1" ht="90" customHeight="1" x14ac:dyDescent="0.35">
      <c r="A623" s="16"/>
      <c r="B623" s="566" t="s">
        <v>316</v>
      </c>
      <c r="C623" s="28" t="s">
        <v>310</v>
      </c>
      <c r="D623" s="15" t="s">
        <v>222</v>
      </c>
      <c r="E623" s="15" t="s">
        <v>50</v>
      </c>
      <c r="F623" s="676" t="s">
        <v>61</v>
      </c>
      <c r="G623" s="677" t="s">
        <v>87</v>
      </c>
      <c r="H623" s="677" t="s">
        <v>61</v>
      </c>
      <c r="I623" s="678" t="s">
        <v>43</v>
      </c>
      <c r="J623" s="15"/>
      <c r="K623" s="29">
        <f t="shared" si="206"/>
        <v>947.8</v>
      </c>
      <c r="L623" s="29">
        <f t="shared" si="206"/>
        <v>200</v>
      </c>
      <c r="M623" s="29">
        <f t="shared" si="206"/>
        <v>1147.8</v>
      </c>
    </row>
    <row r="624" spans="1:13" s="12" customFormat="1" ht="36" customHeight="1" x14ac:dyDescent="0.35">
      <c r="A624" s="16"/>
      <c r="B624" s="504" t="s">
        <v>311</v>
      </c>
      <c r="C624" s="28" t="s">
        <v>310</v>
      </c>
      <c r="D624" s="15" t="s">
        <v>222</v>
      </c>
      <c r="E624" s="15" t="s">
        <v>50</v>
      </c>
      <c r="F624" s="676" t="s">
        <v>61</v>
      </c>
      <c r="G624" s="677" t="s">
        <v>87</v>
      </c>
      <c r="H624" s="677" t="s">
        <v>61</v>
      </c>
      <c r="I624" s="678" t="s">
        <v>312</v>
      </c>
      <c r="J624" s="15"/>
      <c r="K624" s="29">
        <f t="shared" si="206"/>
        <v>947.8</v>
      </c>
      <c r="L624" s="29">
        <f t="shared" si="206"/>
        <v>200</v>
      </c>
      <c r="M624" s="29">
        <f t="shared" si="206"/>
        <v>1147.8</v>
      </c>
    </row>
    <row r="625" spans="1:13" s="12" customFormat="1" ht="54" customHeight="1" x14ac:dyDescent="0.35">
      <c r="A625" s="16"/>
      <c r="B625" s="497" t="s">
        <v>53</v>
      </c>
      <c r="C625" s="28" t="s">
        <v>310</v>
      </c>
      <c r="D625" s="15" t="s">
        <v>222</v>
      </c>
      <c r="E625" s="15" t="s">
        <v>50</v>
      </c>
      <c r="F625" s="676" t="s">
        <v>61</v>
      </c>
      <c r="G625" s="677" t="s">
        <v>87</v>
      </c>
      <c r="H625" s="677" t="s">
        <v>61</v>
      </c>
      <c r="I625" s="678" t="s">
        <v>312</v>
      </c>
      <c r="J625" s="15" t="s">
        <v>54</v>
      </c>
      <c r="K625" s="29">
        <v>947.8</v>
      </c>
      <c r="L625" s="29">
        <f>M625-K625</f>
        <v>200</v>
      </c>
      <c r="M625" s="29">
        <f>947.8+200</f>
        <v>1147.8</v>
      </c>
    </row>
    <row r="626" spans="1:13" s="12" customFormat="1" ht="54" customHeight="1" x14ac:dyDescent="0.35">
      <c r="A626" s="16"/>
      <c r="B626" s="497" t="s">
        <v>212</v>
      </c>
      <c r="C626" s="28" t="s">
        <v>310</v>
      </c>
      <c r="D626" s="15" t="s">
        <v>222</v>
      </c>
      <c r="E626" s="15" t="s">
        <v>50</v>
      </c>
      <c r="F626" s="676" t="s">
        <v>61</v>
      </c>
      <c r="G626" s="677" t="s">
        <v>29</v>
      </c>
      <c r="H626" s="677" t="s">
        <v>42</v>
      </c>
      <c r="I626" s="678" t="s">
        <v>43</v>
      </c>
      <c r="J626" s="15"/>
      <c r="K626" s="29">
        <f>K627</f>
        <v>13091.2</v>
      </c>
      <c r="L626" s="29">
        <f t="shared" ref="L626" si="207">L627</f>
        <v>498.69999999999965</v>
      </c>
      <c r="M626" s="29">
        <f>M627</f>
        <v>13589.899999999998</v>
      </c>
    </row>
    <row r="627" spans="1:13" s="12" customFormat="1" ht="36" customHeight="1" x14ac:dyDescent="0.35">
      <c r="A627" s="16"/>
      <c r="B627" s="497" t="s">
        <v>278</v>
      </c>
      <c r="C627" s="28" t="s">
        <v>310</v>
      </c>
      <c r="D627" s="15" t="s">
        <v>222</v>
      </c>
      <c r="E627" s="15" t="s">
        <v>50</v>
      </c>
      <c r="F627" s="676" t="s">
        <v>61</v>
      </c>
      <c r="G627" s="677" t="s">
        <v>29</v>
      </c>
      <c r="H627" s="677" t="s">
        <v>36</v>
      </c>
      <c r="I627" s="678" t="s">
        <v>43</v>
      </c>
      <c r="J627" s="15"/>
      <c r="K627" s="29">
        <f>K628+K632</f>
        <v>13091.2</v>
      </c>
      <c r="L627" s="29">
        <f t="shared" ref="L627" si="208">L628+L632</f>
        <v>498.69999999999965</v>
      </c>
      <c r="M627" s="29">
        <f>M628+M632</f>
        <v>13589.899999999998</v>
      </c>
    </row>
    <row r="628" spans="1:13" s="12" customFormat="1" ht="36" customHeight="1" x14ac:dyDescent="0.35">
      <c r="A628" s="16"/>
      <c r="B628" s="497" t="s">
        <v>46</v>
      </c>
      <c r="C628" s="28" t="s">
        <v>310</v>
      </c>
      <c r="D628" s="15" t="s">
        <v>222</v>
      </c>
      <c r="E628" s="15" t="s">
        <v>50</v>
      </c>
      <c r="F628" s="676" t="s">
        <v>61</v>
      </c>
      <c r="G628" s="677" t="s">
        <v>29</v>
      </c>
      <c r="H628" s="677" t="s">
        <v>36</v>
      </c>
      <c r="I628" s="678" t="s">
        <v>47</v>
      </c>
      <c r="J628" s="95"/>
      <c r="K628" s="29">
        <f>K629+K630+K631</f>
        <v>3570.7000000000003</v>
      </c>
      <c r="L628" s="29">
        <f t="shared" ref="L628" si="209">L629+L630+L631</f>
        <v>-1.7053025658242404E-13</v>
      </c>
      <c r="M628" s="29">
        <f>M629+M630+M631</f>
        <v>3570.7</v>
      </c>
    </row>
    <row r="629" spans="1:13" s="12" customFormat="1" ht="108" customHeight="1" x14ac:dyDescent="0.35">
      <c r="A629" s="16"/>
      <c r="B629" s="497" t="s">
        <v>48</v>
      </c>
      <c r="C629" s="28" t="s">
        <v>310</v>
      </c>
      <c r="D629" s="15" t="s">
        <v>222</v>
      </c>
      <c r="E629" s="15" t="s">
        <v>50</v>
      </c>
      <c r="F629" s="676" t="s">
        <v>61</v>
      </c>
      <c r="G629" s="677" t="s">
        <v>29</v>
      </c>
      <c r="H629" s="677" t="s">
        <v>36</v>
      </c>
      <c r="I629" s="678" t="s">
        <v>47</v>
      </c>
      <c r="J629" s="95" t="s">
        <v>49</v>
      </c>
      <c r="K629" s="29">
        <v>3284.3</v>
      </c>
      <c r="L629" s="29">
        <f>M629-K629</f>
        <v>16.699999999999818</v>
      </c>
      <c r="M629" s="29">
        <f>3284.3+16.7</f>
        <v>3301</v>
      </c>
    </row>
    <row r="630" spans="1:13" s="12" customFormat="1" ht="54" customHeight="1" x14ac:dyDescent="0.35">
      <c r="A630" s="16"/>
      <c r="B630" s="497" t="s">
        <v>53</v>
      </c>
      <c r="C630" s="28" t="s">
        <v>310</v>
      </c>
      <c r="D630" s="15" t="s">
        <v>222</v>
      </c>
      <c r="E630" s="15" t="s">
        <v>50</v>
      </c>
      <c r="F630" s="676" t="s">
        <v>61</v>
      </c>
      <c r="G630" s="677" t="s">
        <v>29</v>
      </c>
      <c r="H630" s="677" t="s">
        <v>36</v>
      </c>
      <c r="I630" s="678" t="s">
        <v>47</v>
      </c>
      <c r="J630" s="95" t="s">
        <v>54</v>
      </c>
      <c r="K630" s="29">
        <v>277.89999999999998</v>
      </c>
      <c r="L630" s="29">
        <f>M630-K630</f>
        <v>-16.699999999999989</v>
      </c>
      <c r="M630" s="29">
        <f>277.9-16.7</f>
        <v>261.2</v>
      </c>
    </row>
    <row r="631" spans="1:13" s="12" customFormat="1" ht="18" customHeight="1" x14ac:dyDescent="0.35">
      <c r="A631" s="16"/>
      <c r="B631" s="497" t="s">
        <v>55</v>
      </c>
      <c r="C631" s="28" t="s">
        <v>310</v>
      </c>
      <c r="D631" s="15" t="s">
        <v>222</v>
      </c>
      <c r="E631" s="15" t="s">
        <v>50</v>
      </c>
      <c r="F631" s="676" t="s">
        <v>61</v>
      </c>
      <c r="G631" s="677" t="s">
        <v>29</v>
      </c>
      <c r="H631" s="677" t="s">
        <v>36</v>
      </c>
      <c r="I631" s="678" t="s">
        <v>47</v>
      </c>
      <c r="J631" s="15" t="s">
        <v>56</v>
      </c>
      <c r="K631" s="29">
        <v>8.5</v>
      </c>
      <c r="L631" s="29">
        <f>M631-K631</f>
        <v>0</v>
      </c>
      <c r="M631" s="29">
        <v>8.5</v>
      </c>
    </row>
    <row r="632" spans="1:13" s="12" customFormat="1" ht="36" customHeight="1" x14ac:dyDescent="0.35">
      <c r="A632" s="16"/>
      <c r="B632" s="529" t="s">
        <v>454</v>
      </c>
      <c r="C632" s="28" t="s">
        <v>310</v>
      </c>
      <c r="D632" s="15" t="s">
        <v>222</v>
      </c>
      <c r="E632" s="15" t="s">
        <v>50</v>
      </c>
      <c r="F632" s="676" t="s">
        <v>61</v>
      </c>
      <c r="G632" s="677" t="s">
        <v>29</v>
      </c>
      <c r="H632" s="677" t="s">
        <v>36</v>
      </c>
      <c r="I632" s="678" t="s">
        <v>89</v>
      </c>
      <c r="J632" s="15"/>
      <c r="K632" s="29">
        <f>K633+K634+K635</f>
        <v>9520.5</v>
      </c>
      <c r="L632" s="29">
        <f t="shared" ref="L632" si="210">L633+L634+L635</f>
        <v>498.69999999999982</v>
      </c>
      <c r="M632" s="29">
        <f>M633+M634+M635</f>
        <v>10019.199999999999</v>
      </c>
    </row>
    <row r="633" spans="1:13" s="12" customFormat="1" ht="108" customHeight="1" x14ac:dyDescent="0.35">
      <c r="A633" s="16"/>
      <c r="B633" s="497" t="s">
        <v>48</v>
      </c>
      <c r="C633" s="148" t="s">
        <v>310</v>
      </c>
      <c r="D633" s="95" t="s">
        <v>222</v>
      </c>
      <c r="E633" s="95" t="s">
        <v>50</v>
      </c>
      <c r="F633" s="676" t="s">
        <v>61</v>
      </c>
      <c r="G633" s="677" t="s">
        <v>29</v>
      </c>
      <c r="H633" s="677" t="s">
        <v>36</v>
      </c>
      <c r="I633" s="678" t="s">
        <v>89</v>
      </c>
      <c r="J633" s="95" t="s">
        <v>49</v>
      </c>
      <c r="K633" s="29">
        <f>7575+16.9</f>
        <v>7591.9</v>
      </c>
      <c r="L633" s="29">
        <f>M633-K633</f>
        <v>498.69999999999982</v>
      </c>
      <c r="M633" s="29">
        <f>7575+16.9+498.7</f>
        <v>8090.5999999999995</v>
      </c>
    </row>
    <row r="634" spans="1:13" s="12" customFormat="1" ht="54" customHeight="1" x14ac:dyDescent="0.35">
      <c r="A634" s="16"/>
      <c r="B634" s="497" t="s">
        <v>53</v>
      </c>
      <c r="C634" s="148" t="s">
        <v>310</v>
      </c>
      <c r="D634" s="95" t="s">
        <v>222</v>
      </c>
      <c r="E634" s="95" t="s">
        <v>50</v>
      </c>
      <c r="F634" s="676" t="s">
        <v>61</v>
      </c>
      <c r="G634" s="677" t="s">
        <v>29</v>
      </c>
      <c r="H634" s="677" t="s">
        <v>36</v>
      </c>
      <c r="I634" s="678" t="s">
        <v>89</v>
      </c>
      <c r="J634" s="95" t="s">
        <v>54</v>
      </c>
      <c r="K634" s="29">
        <f>660.2+105.8+801+360</f>
        <v>1927</v>
      </c>
      <c r="L634" s="29">
        <f>M634-K634</f>
        <v>0</v>
      </c>
      <c r="M634" s="29">
        <f>660.2+105.8+801+360</f>
        <v>1927</v>
      </c>
    </row>
    <row r="635" spans="1:13" s="12" customFormat="1" ht="18" customHeight="1" x14ac:dyDescent="0.35">
      <c r="A635" s="16"/>
      <c r="B635" s="497" t="s">
        <v>55</v>
      </c>
      <c r="C635" s="148" t="s">
        <v>310</v>
      </c>
      <c r="D635" s="95" t="s">
        <v>222</v>
      </c>
      <c r="E635" s="95" t="s">
        <v>50</v>
      </c>
      <c r="F635" s="676" t="s">
        <v>61</v>
      </c>
      <c r="G635" s="677" t="s">
        <v>29</v>
      </c>
      <c r="H635" s="677" t="s">
        <v>36</v>
      </c>
      <c r="I635" s="678" t="s">
        <v>89</v>
      </c>
      <c r="J635" s="15" t="s">
        <v>56</v>
      </c>
      <c r="K635" s="29">
        <v>1.6</v>
      </c>
      <c r="L635" s="29">
        <f>M635-K635</f>
        <v>0</v>
      </c>
      <c r="M635" s="29">
        <v>1.6</v>
      </c>
    </row>
    <row r="636" spans="1:13" s="136" customFormat="1" ht="18" customHeight="1" x14ac:dyDescent="0.35">
      <c r="A636" s="214"/>
      <c r="B636" s="567"/>
      <c r="C636" s="148"/>
      <c r="D636" s="95"/>
      <c r="E636" s="95"/>
      <c r="F636" s="676"/>
      <c r="G636" s="677"/>
      <c r="H636" s="677"/>
      <c r="I636" s="212"/>
      <c r="J636" s="213"/>
      <c r="K636" s="256"/>
      <c r="L636" s="256"/>
      <c r="M636" s="256"/>
    </row>
    <row r="637" spans="1:13" s="116" customFormat="1" ht="52.2" customHeight="1" x14ac:dyDescent="0.3">
      <c r="A637" s="115">
        <v>7</v>
      </c>
      <c r="B637" s="543" t="s">
        <v>10</v>
      </c>
      <c r="C637" s="23" t="s">
        <v>286</v>
      </c>
      <c r="D637" s="24"/>
      <c r="E637" s="24"/>
      <c r="F637" s="25"/>
      <c r="G637" s="26"/>
      <c r="H637" s="26"/>
      <c r="I637" s="27"/>
      <c r="J637" s="24"/>
      <c r="K637" s="37">
        <f>K645+K638</f>
        <v>90662.5</v>
      </c>
      <c r="L637" s="37">
        <f t="shared" ref="L637" si="211">L645+L638</f>
        <v>462.29999999999927</v>
      </c>
      <c r="M637" s="37">
        <f>M645+M638</f>
        <v>91124.799999999988</v>
      </c>
    </row>
    <row r="638" spans="1:13" s="116" customFormat="1" ht="18" customHeight="1" x14ac:dyDescent="0.35">
      <c r="A638" s="115"/>
      <c r="B638" s="494" t="s">
        <v>35</v>
      </c>
      <c r="C638" s="216" t="s">
        <v>286</v>
      </c>
      <c r="D638" s="33" t="s">
        <v>36</v>
      </c>
      <c r="E638" s="33"/>
      <c r="F638" s="208"/>
      <c r="G638" s="209"/>
      <c r="H638" s="209"/>
      <c r="I638" s="210"/>
      <c r="J638" s="33"/>
      <c r="K638" s="211">
        <f t="shared" ref="K638:M643" si="212">K639</f>
        <v>51.9</v>
      </c>
      <c r="L638" s="211">
        <f t="shared" si="212"/>
        <v>0</v>
      </c>
      <c r="M638" s="211">
        <f t="shared" si="212"/>
        <v>51.9</v>
      </c>
    </row>
    <row r="639" spans="1:13" s="116" customFormat="1" ht="18" customHeight="1" x14ac:dyDescent="0.35">
      <c r="A639" s="115"/>
      <c r="B639" s="494" t="s">
        <v>68</v>
      </c>
      <c r="C639" s="216" t="s">
        <v>286</v>
      </c>
      <c r="D639" s="33" t="s">
        <v>36</v>
      </c>
      <c r="E639" s="33" t="s">
        <v>69</v>
      </c>
      <c r="F639" s="208"/>
      <c r="G639" s="209"/>
      <c r="H639" s="209"/>
      <c r="I639" s="210"/>
      <c r="J639" s="33"/>
      <c r="K639" s="211">
        <f t="shared" si="212"/>
        <v>51.9</v>
      </c>
      <c r="L639" s="211">
        <f t="shared" si="212"/>
        <v>0</v>
      </c>
      <c r="M639" s="211">
        <f t="shared" si="212"/>
        <v>51.9</v>
      </c>
    </row>
    <row r="640" spans="1:13" s="116" customFormat="1" ht="54" customHeight="1" x14ac:dyDescent="0.35">
      <c r="A640" s="115"/>
      <c r="B640" s="497" t="s">
        <v>213</v>
      </c>
      <c r="C640" s="216" t="s">
        <v>286</v>
      </c>
      <c r="D640" s="33" t="s">
        <v>36</v>
      </c>
      <c r="E640" s="33" t="s">
        <v>69</v>
      </c>
      <c r="F640" s="208" t="s">
        <v>50</v>
      </c>
      <c r="G640" s="209" t="s">
        <v>41</v>
      </c>
      <c r="H640" s="209" t="s">
        <v>42</v>
      </c>
      <c r="I640" s="210" t="s">
        <v>43</v>
      </c>
      <c r="J640" s="33"/>
      <c r="K640" s="211">
        <f t="shared" si="212"/>
        <v>51.9</v>
      </c>
      <c r="L640" s="211">
        <f t="shared" si="212"/>
        <v>0</v>
      </c>
      <c r="M640" s="211">
        <f t="shared" si="212"/>
        <v>51.9</v>
      </c>
    </row>
    <row r="641" spans="1:14" s="116" customFormat="1" ht="36" customHeight="1" x14ac:dyDescent="0.35">
      <c r="A641" s="115"/>
      <c r="B641" s="497" t="s">
        <v>216</v>
      </c>
      <c r="C641" s="216" t="s">
        <v>286</v>
      </c>
      <c r="D641" s="33" t="s">
        <v>36</v>
      </c>
      <c r="E641" s="33" t="s">
        <v>69</v>
      </c>
      <c r="F641" s="208" t="s">
        <v>50</v>
      </c>
      <c r="G641" s="209" t="s">
        <v>87</v>
      </c>
      <c r="H641" s="209" t="s">
        <v>42</v>
      </c>
      <c r="I641" s="210" t="s">
        <v>43</v>
      </c>
      <c r="J641" s="33"/>
      <c r="K641" s="211">
        <f t="shared" si="212"/>
        <v>51.9</v>
      </c>
      <c r="L641" s="211">
        <f t="shared" si="212"/>
        <v>0</v>
      </c>
      <c r="M641" s="211">
        <f t="shared" si="212"/>
        <v>51.9</v>
      </c>
    </row>
    <row r="642" spans="1:14" s="116" customFormat="1" ht="36" customHeight="1" x14ac:dyDescent="0.35">
      <c r="A642" s="115"/>
      <c r="B642" s="494" t="s">
        <v>347</v>
      </c>
      <c r="C642" s="216" t="s">
        <v>286</v>
      </c>
      <c r="D642" s="33" t="s">
        <v>36</v>
      </c>
      <c r="E642" s="33" t="s">
        <v>69</v>
      </c>
      <c r="F642" s="208" t="s">
        <v>50</v>
      </c>
      <c r="G642" s="209" t="s">
        <v>87</v>
      </c>
      <c r="H642" s="209" t="s">
        <v>61</v>
      </c>
      <c r="I642" s="210" t="s">
        <v>43</v>
      </c>
      <c r="J642" s="33"/>
      <c r="K642" s="211">
        <f t="shared" si="212"/>
        <v>51.9</v>
      </c>
      <c r="L642" s="211">
        <f t="shared" si="212"/>
        <v>0</v>
      </c>
      <c r="M642" s="211">
        <f t="shared" si="212"/>
        <v>51.9</v>
      </c>
    </row>
    <row r="643" spans="1:14" s="116" customFormat="1" ht="54" customHeight="1" x14ac:dyDescent="0.35">
      <c r="A643" s="115"/>
      <c r="B643" s="568" t="s">
        <v>348</v>
      </c>
      <c r="C643" s="216" t="s">
        <v>286</v>
      </c>
      <c r="D643" s="33" t="s">
        <v>36</v>
      </c>
      <c r="E643" s="33" t="s">
        <v>69</v>
      </c>
      <c r="F643" s="208" t="s">
        <v>50</v>
      </c>
      <c r="G643" s="209" t="s">
        <v>87</v>
      </c>
      <c r="H643" s="209" t="s">
        <v>61</v>
      </c>
      <c r="I643" s="210" t="s">
        <v>103</v>
      </c>
      <c r="J643" s="33"/>
      <c r="K643" s="211">
        <f>K644</f>
        <v>51.9</v>
      </c>
      <c r="L643" s="211">
        <f t="shared" si="212"/>
        <v>0</v>
      </c>
      <c r="M643" s="211">
        <f>M644</f>
        <v>51.9</v>
      </c>
    </row>
    <row r="644" spans="1:14" s="116" customFormat="1" ht="54" customHeight="1" x14ac:dyDescent="0.35">
      <c r="A644" s="115"/>
      <c r="B644" s="497" t="s">
        <v>53</v>
      </c>
      <c r="C644" s="216" t="s">
        <v>286</v>
      </c>
      <c r="D644" s="33" t="s">
        <v>36</v>
      </c>
      <c r="E644" s="33" t="s">
        <v>69</v>
      </c>
      <c r="F644" s="208" t="s">
        <v>50</v>
      </c>
      <c r="G644" s="209" t="s">
        <v>87</v>
      </c>
      <c r="H644" s="209" t="s">
        <v>61</v>
      </c>
      <c r="I644" s="210" t="s">
        <v>103</v>
      </c>
      <c r="J644" s="33" t="s">
        <v>54</v>
      </c>
      <c r="K644" s="211">
        <v>51.9</v>
      </c>
      <c r="L644" s="29">
        <f>M644-K644</f>
        <v>0</v>
      </c>
      <c r="M644" s="211">
        <v>51.9</v>
      </c>
    </row>
    <row r="645" spans="1:14" s="12" customFormat="1" ht="18" customHeight="1" x14ac:dyDescent="0.35">
      <c r="A645" s="16"/>
      <c r="B645" s="546" t="s">
        <v>318</v>
      </c>
      <c r="C645" s="28" t="s">
        <v>286</v>
      </c>
      <c r="D645" s="15" t="s">
        <v>65</v>
      </c>
      <c r="E645" s="15"/>
      <c r="F645" s="676"/>
      <c r="G645" s="677"/>
      <c r="H645" s="677"/>
      <c r="I645" s="678"/>
      <c r="J645" s="15"/>
      <c r="K645" s="29">
        <f>K646+K656+K686+K668</f>
        <v>90610.6</v>
      </c>
      <c r="L645" s="29">
        <f t="shared" ref="L645" si="213">L646+L656+L686+L668</f>
        <v>462.29999999999927</v>
      </c>
      <c r="M645" s="29">
        <f>M646+M656+M686+M668</f>
        <v>91072.9</v>
      </c>
    </row>
    <row r="646" spans="1:14" s="116" customFormat="1" ht="18" customHeight="1" x14ac:dyDescent="0.35">
      <c r="A646" s="16"/>
      <c r="B646" s="546" t="s">
        <v>356</v>
      </c>
      <c r="C646" s="28" t="s">
        <v>286</v>
      </c>
      <c r="D646" s="15" t="s">
        <v>65</v>
      </c>
      <c r="E646" s="15" t="s">
        <v>36</v>
      </c>
      <c r="F646" s="676"/>
      <c r="G646" s="677"/>
      <c r="H646" s="677"/>
      <c r="I646" s="678"/>
      <c r="J646" s="15"/>
      <c r="K646" s="29">
        <f>K647</f>
        <v>4755</v>
      </c>
      <c r="L646" s="29">
        <f t="shared" ref="L646:L648" si="214">L647</f>
        <v>0</v>
      </c>
      <c r="M646" s="29">
        <f>M647</f>
        <v>4755</v>
      </c>
    </row>
    <row r="647" spans="1:14" s="116" customFormat="1" ht="54" customHeight="1" x14ac:dyDescent="0.35">
      <c r="A647" s="16"/>
      <c r="B647" s="497" t="s">
        <v>213</v>
      </c>
      <c r="C647" s="28" t="s">
        <v>286</v>
      </c>
      <c r="D647" s="15" t="s">
        <v>65</v>
      </c>
      <c r="E647" s="15" t="s">
        <v>36</v>
      </c>
      <c r="F647" s="676" t="s">
        <v>50</v>
      </c>
      <c r="G647" s="677" t="s">
        <v>41</v>
      </c>
      <c r="H647" s="677" t="s">
        <v>42</v>
      </c>
      <c r="I647" s="678" t="s">
        <v>43</v>
      </c>
      <c r="J647" s="15"/>
      <c r="K647" s="29">
        <f>K648</f>
        <v>4755</v>
      </c>
      <c r="L647" s="29">
        <f t="shared" si="214"/>
        <v>0</v>
      </c>
      <c r="M647" s="29">
        <f>M648</f>
        <v>4755</v>
      </c>
    </row>
    <row r="648" spans="1:14" s="12" customFormat="1" ht="36" customHeight="1" x14ac:dyDescent="0.35">
      <c r="A648" s="16"/>
      <c r="B648" s="497" t="s">
        <v>216</v>
      </c>
      <c r="C648" s="28" t="s">
        <v>286</v>
      </c>
      <c r="D648" s="15" t="s">
        <v>65</v>
      </c>
      <c r="E648" s="15" t="s">
        <v>36</v>
      </c>
      <c r="F648" s="676" t="s">
        <v>50</v>
      </c>
      <c r="G648" s="677" t="s">
        <v>87</v>
      </c>
      <c r="H648" s="677" t="s">
        <v>42</v>
      </c>
      <c r="I648" s="678" t="s">
        <v>43</v>
      </c>
      <c r="J648" s="15"/>
      <c r="K648" s="29">
        <f>K649</f>
        <v>4755</v>
      </c>
      <c r="L648" s="29">
        <f t="shared" si="214"/>
        <v>0</v>
      </c>
      <c r="M648" s="29">
        <f>M649</f>
        <v>4755</v>
      </c>
    </row>
    <row r="649" spans="1:14" s="116" customFormat="1" ht="36" customHeight="1" x14ac:dyDescent="0.35">
      <c r="A649" s="16"/>
      <c r="B649" s="497" t="s">
        <v>518</v>
      </c>
      <c r="C649" s="28" t="s">
        <v>286</v>
      </c>
      <c r="D649" s="15" t="s">
        <v>65</v>
      </c>
      <c r="E649" s="15" t="s">
        <v>36</v>
      </c>
      <c r="F649" s="676" t="s">
        <v>50</v>
      </c>
      <c r="G649" s="677" t="s">
        <v>87</v>
      </c>
      <c r="H649" s="677" t="s">
        <v>50</v>
      </c>
      <c r="I649" s="678" t="s">
        <v>43</v>
      </c>
      <c r="J649" s="15"/>
      <c r="K649" s="29">
        <f>K650+K654</f>
        <v>4755</v>
      </c>
      <c r="L649" s="29">
        <f t="shared" ref="L649" si="215">L650+L654</f>
        <v>0</v>
      </c>
      <c r="M649" s="29">
        <f>M650+M654</f>
        <v>4755</v>
      </c>
    </row>
    <row r="650" spans="1:14" s="116" customFormat="1" ht="36" customHeight="1" x14ac:dyDescent="0.35">
      <c r="A650" s="16"/>
      <c r="B650" s="497" t="s">
        <v>454</v>
      </c>
      <c r="C650" s="28" t="s">
        <v>286</v>
      </c>
      <c r="D650" s="15" t="s">
        <v>65</v>
      </c>
      <c r="E650" s="15" t="s">
        <v>36</v>
      </c>
      <c r="F650" s="676" t="s">
        <v>50</v>
      </c>
      <c r="G650" s="677" t="s">
        <v>87</v>
      </c>
      <c r="H650" s="677" t="s">
        <v>50</v>
      </c>
      <c r="I650" s="678" t="s">
        <v>89</v>
      </c>
      <c r="J650" s="15"/>
      <c r="K650" s="29">
        <f>K651+K652+K653</f>
        <v>3753.6000000000004</v>
      </c>
      <c r="L650" s="29">
        <f t="shared" ref="L650" si="216">L651+L652+L653</f>
        <v>0</v>
      </c>
      <c r="M650" s="29">
        <f>M651+M652+M653</f>
        <v>3753.6000000000004</v>
      </c>
    </row>
    <row r="651" spans="1:14" s="116" customFormat="1" ht="108" customHeight="1" x14ac:dyDescent="0.35">
      <c r="A651" s="16"/>
      <c r="B651" s="497" t="s">
        <v>48</v>
      </c>
      <c r="C651" s="28" t="s">
        <v>286</v>
      </c>
      <c r="D651" s="15" t="s">
        <v>65</v>
      </c>
      <c r="E651" s="15" t="s">
        <v>36</v>
      </c>
      <c r="F651" s="676" t="s">
        <v>50</v>
      </c>
      <c r="G651" s="677" t="s">
        <v>87</v>
      </c>
      <c r="H651" s="677" t="s">
        <v>50</v>
      </c>
      <c r="I651" s="678" t="s">
        <v>89</v>
      </c>
      <c r="J651" s="15" t="s">
        <v>49</v>
      </c>
      <c r="K651" s="29">
        <v>2270.4</v>
      </c>
      <c r="L651" s="29">
        <f>M651-K651</f>
        <v>0</v>
      </c>
      <c r="M651" s="29">
        <v>2270.4</v>
      </c>
    </row>
    <row r="652" spans="1:14" s="116" customFormat="1" ht="54" customHeight="1" x14ac:dyDescent="0.35">
      <c r="A652" s="16"/>
      <c r="B652" s="497" t="s">
        <v>53</v>
      </c>
      <c r="C652" s="28" t="s">
        <v>286</v>
      </c>
      <c r="D652" s="15" t="s">
        <v>65</v>
      </c>
      <c r="E652" s="15" t="s">
        <v>36</v>
      </c>
      <c r="F652" s="676" t="s">
        <v>50</v>
      </c>
      <c r="G652" s="677" t="s">
        <v>87</v>
      </c>
      <c r="H652" s="677" t="s">
        <v>50</v>
      </c>
      <c r="I652" s="678" t="s">
        <v>89</v>
      </c>
      <c r="J652" s="15" t="s">
        <v>54</v>
      </c>
      <c r="K652" s="29">
        <v>1463.4</v>
      </c>
      <c r="L652" s="29">
        <f>M652-K652</f>
        <v>0</v>
      </c>
      <c r="M652" s="29">
        <v>1463.4</v>
      </c>
    </row>
    <row r="653" spans="1:14" s="116" customFormat="1" ht="18" customHeight="1" x14ac:dyDescent="0.35">
      <c r="A653" s="16"/>
      <c r="B653" s="497" t="s">
        <v>55</v>
      </c>
      <c r="C653" s="28" t="s">
        <v>286</v>
      </c>
      <c r="D653" s="15" t="s">
        <v>65</v>
      </c>
      <c r="E653" s="15" t="s">
        <v>36</v>
      </c>
      <c r="F653" s="676" t="s">
        <v>50</v>
      </c>
      <c r="G653" s="677" t="s">
        <v>87</v>
      </c>
      <c r="H653" s="677" t="s">
        <v>50</v>
      </c>
      <c r="I653" s="678" t="s">
        <v>89</v>
      </c>
      <c r="J653" s="15" t="s">
        <v>56</v>
      </c>
      <c r="K653" s="29">
        <f>7.9+11.9</f>
        <v>19.8</v>
      </c>
      <c r="L653" s="29">
        <f>M653-K653</f>
        <v>0</v>
      </c>
      <c r="M653" s="29">
        <f>7.9+11.9</f>
        <v>19.8</v>
      </c>
    </row>
    <row r="654" spans="1:14" s="116" customFormat="1" ht="54" customHeight="1" x14ac:dyDescent="0.35">
      <c r="A654" s="16"/>
      <c r="B654" s="497" t="s">
        <v>215</v>
      </c>
      <c r="C654" s="28" t="s">
        <v>286</v>
      </c>
      <c r="D654" s="15" t="s">
        <v>65</v>
      </c>
      <c r="E654" s="15" t="s">
        <v>36</v>
      </c>
      <c r="F654" s="676" t="s">
        <v>50</v>
      </c>
      <c r="G654" s="677" t="s">
        <v>87</v>
      </c>
      <c r="H654" s="677" t="s">
        <v>50</v>
      </c>
      <c r="I654" s="678" t="s">
        <v>288</v>
      </c>
      <c r="J654" s="15"/>
      <c r="K654" s="29">
        <f>K655</f>
        <v>1001.4</v>
      </c>
      <c r="L654" s="29">
        <f t="shared" ref="L654" si="217">L655</f>
        <v>0</v>
      </c>
      <c r="M654" s="29">
        <f>M655</f>
        <v>1001.4</v>
      </c>
    </row>
    <row r="655" spans="1:14" s="116" customFormat="1" ht="54" customHeight="1" x14ac:dyDescent="0.35">
      <c r="A655" s="16"/>
      <c r="B655" s="497" t="s">
        <v>53</v>
      </c>
      <c r="C655" s="28" t="s">
        <v>286</v>
      </c>
      <c r="D655" s="15" t="s">
        <v>65</v>
      </c>
      <c r="E655" s="15" t="s">
        <v>36</v>
      </c>
      <c r="F655" s="676" t="s">
        <v>50</v>
      </c>
      <c r="G655" s="677" t="s">
        <v>87</v>
      </c>
      <c r="H655" s="677" t="s">
        <v>50</v>
      </c>
      <c r="I655" s="678" t="s">
        <v>288</v>
      </c>
      <c r="J655" s="15" t="s">
        <v>54</v>
      </c>
      <c r="K655" s="29">
        <v>1001.4</v>
      </c>
      <c r="L655" s="29">
        <f>M655-K655</f>
        <v>0</v>
      </c>
      <c r="M655" s="29">
        <v>1001.4</v>
      </c>
    </row>
    <row r="656" spans="1:14" s="12" customFormat="1" ht="18" customHeight="1" x14ac:dyDescent="0.35">
      <c r="A656" s="16"/>
      <c r="B656" s="546" t="s">
        <v>289</v>
      </c>
      <c r="C656" s="28" t="s">
        <v>286</v>
      </c>
      <c r="D656" s="15" t="s">
        <v>65</v>
      </c>
      <c r="E656" s="15" t="s">
        <v>38</v>
      </c>
      <c r="F656" s="676"/>
      <c r="G656" s="677"/>
      <c r="H656" s="677"/>
      <c r="I656" s="678"/>
      <c r="J656" s="15"/>
      <c r="K656" s="29">
        <f t="shared" ref="K656:M656" si="218">K657</f>
        <v>31407.3</v>
      </c>
      <c r="L656" s="29">
        <f t="shared" si="218"/>
        <v>0</v>
      </c>
      <c r="M656" s="29">
        <f t="shared" si="218"/>
        <v>31407.3</v>
      </c>
      <c r="N656" s="157"/>
    </row>
    <row r="657" spans="1:14" s="12" customFormat="1" ht="54" customHeight="1" x14ac:dyDescent="0.35">
      <c r="A657" s="16"/>
      <c r="B657" s="497" t="s">
        <v>213</v>
      </c>
      <c r="C657" s="28" t="s">
        <v>286</v>
      </c>
      <c r="D657" s="15" t="s">
        <v>65</v>
      </c>
      <c r="E657" s="15" t="s">
        <v>38</v>
      </c>
      <c r="F657" s="676" t="s">
        <v>50</v>
      </c>
      <c r="G657" s="677" t="s">
        <v>41</v>
      </c>
      <c r="H657" s="677" t="s">
        <v>42</v>
      </c>
      <c r="I657" s="678" t="s">
        <v>43</v>
      </c>
      <c r="J657" s="15"/>
      <c r="K657" s="29">
        <f>K658+K662</f>
        <v>31407.3</v>
      </c>
      <c r="L657" s="29">
        <f t="shared" ref="L657" si="219">L658+L662</f>
        <v>0</v>
      </c>
      <c r="M657" s="29">
        <f>M658+M662</f>
        <v>31407.3</v>
      </c>
    </row>
    <row r="658" spans="1:14" s="12" customFormat="1" ht="36" customHeight="1" x14ac:dyDescent="0.35">
      <c r="A658" s="16"/>
      <c r="B658" s="546" t="s">
        <v>214</v>
      </c>
      <c r="C658" s="28" t="s">
        <v>286</v>
      </c>
      <c r="D658" s="15" t="s">
        <v>65</v>
      </c>
      <c r="E658" s="15" t="s">
        <v>38</v>
      </c>
      <c r="F658" s="676" t="s">
        <v>50</v>
      </c>
      <c r="G658" s="677" t="s">
        <v>44</v>
      </c>
      <c r="H658" s="677" t="s">
        <v>42</v>
      </c>
      <c r="I658" s="678" t="s">
        <v>43</v>
      </c>
      <c r="J658" s="15"/>
      <c r="K658" s="29">
        <f>K659</f>
        <v>910.6</v>
      </c>
      <c r="L658" s="29">
        <f t="shared" ref="L658" si="220">L659</f>
        <v>0</v>
      </c>
      <c r="M658" s="29">
        <f>M659</f>
        <v>910.6</v>
      </c>
      <c r="N658" s="157"/>
    </row>
    <row r="659" spans="1:14" s="12" customFormat="1" ht="54" customHeight="1" x14ac:dyDescent="0.35">
      <c r="A659" s="16"/>
      <c r="B659" s="497" t="s">
        <v>287</v>
      </c>
      <c r="C659" s="28" t="s">
        <v>286</v>
      </c>
      <c r="D659" s="15" t="s">
        <v>65</v>
      </c>
      <c r="E659" s="15" t="s">
        <v>38</v>
      </c>
      <c r="F659" s="676" t="s">
        <v>50</v>
      </c>
      <c r="G659" s="677" t="s">
        <v>44</v>
      </c>
      <c r="H659" s="677" t="s">
        <v>38</v>
      </c>
      <c r="I659" s="678" t="s">
        <v>43</v>
      </c>
      <c r="J659" s="15"/>
      <c r="K659" s="29">
        <f t="shared" ref="K659:M659" si="221">K660</f>
        <v>910.6</v>
      </c>
      <c r="L659" s="29">
        <f t="shared" si="221"/>
        <v>0</v>
      </c>
      <c r="M659" s="29">
        <f t="shared" si="221"/>
        <v>910.6</v>
      </c>
      <c r="N659" s="157"/>
    </row>
    <row r="660" spans="1:14" s="12" customFormat="1" ht="54" customHeight="1" x14ac:dyDescent="0.35">
      <c r="A660" s="16"/>
      <c r="B660" s="497" t="s">
        <v>215</v>
      </c>
      <c r="C660" s="28" t="s">
        <v>286</v>
      </c>
      <c r="D660" s="15" t="s">
        <v>65</v>
      </c>
      <c r="E660" s="15" t="s">
        <v>38</v>
      </c>
      <c r="F660" s="676" t="s">
        <v>50</v>
      </c>
      <c r="G660" s="677" t="s">
        <v>44</v>
      </c>
      <c r="H660" s="677" t="s">
        <v>38</v>
      </c>
      <c r="I660" s="678" t="s">
        <v>288</v>
      </c>
      <c r="J660" s="15"/>
      <c r="K660" s="29">
        <f>SUM(K661:K661)</f>
        <v>910.6</v>
      </c>
      <c r="L660" s="29">
        <f t="shared" ref="L660" si="222">SUM(L661:L661)</f>
        <v>0</v>
      </c>
      <c r="M660" s="29">
        <f>SUM(M661:M661)</f>
        <v>910.6</v>
      </c>
    </row>
    <row r="661" spans="1:14" s="12" customFormat="1" ht="54" customHeight="1" x14ac:dyDescent="0.35">
      <c r="A661" s="16"/>
      <c r="B661" s="497" t="s">
        <v>53</v>
      </c>
      <c r="C661" s="28" t="s">
        <v>286</v>
      </c>
      <c r="D661" s="15" t="s">
        <v>65</v>
      </c>
      <c r="E661" s="15" t="s">
        <v>38</v>
      </c>
      <c r="F661" s="676" t="s">
        <v>50</v>
      </c>
      <c r="G661" s="677" t="s">
        <v>44</v>
      </c>
      <c r="H661" s="677" t="s">
        <v>38</v>
      </c>
      <c r="I661" s="678" t="s">
        <v>288</v>
      </c>
      <c r="J661" s="15" t="s">
        <v>54</v>
      </c>
      <c r="K661" s="29">
        <f>910.6</f>
        <v>910.6</v>
      </c>
      <c r="L661" s="29">
        <f>M661-K661</f>
        <v>0</v>
      </c>
      <c r="M661" s="29">
        <f>910.6</f>
        <v>910.6</v>
      </c>
      <c r="N661" s="157"/>
    </row>
    <row r="662" spans="1:14" s="12" customFormat="1" ht="36" x14ac:dyDescent="0.35">
      <c r="A662" s="16"/>
      <c r="B662" s="497" t="s">
        <v>216</v>
      </c>
      <c r="C662" s="28" t="s">
        <v>286</v>
      </c>
      <c r="D662" s="15" t="s">
        <v>65</v>
      </c>
      <c r="E662" s="15" t="s">
        <v>38</v>
      </c>
      <c r="F662" s="676" t="s">
        <v>50</v>
      </c>
      <c r="G662" s="677" t="s">
        <v>87</v>
      </c>
      <c r="H662" s="677" t="s">
        <v>42</v>
      </c>
      <c r="I662" s="678" t="s">
        <v>43</v>
      </c>
      <c r="J662" s="15"/>
      <c r="K662" s="29">
        <f t="shared" ref="K662:M666" si="223">K663</f>
        <v>30496.7</v>
      </c>
      <c r="L662" s="29">
        <f t="shared" si="223"/>
        <v>0</v>
      </c>
      <c r="M662" s="29">
        <f t="shared" si="223"/>
        <v>30496.7</v>
      </c>
      <c r="N662" s="157"/>
    </row>
    <row r="663" spans="1:14" s="12" customFormat="1" ht="42" customHeight="1" x14ac:dyDescent="0.35">
      <c r="A663" s="16"/>
      <c r="B663" s="497" t="s">
        <v>357</v>
      </c>
      <c r="C663" s="28" t="s">
        <v>286</v>
      </c>
      <c r="D663" s="15" t="s">
        <v>65</v>
      </c>
      <c r="E663" s="15" t="s">
        <v>38</v>
      </c>
      <c r="F663" s="676" t="s">
        <v>50</v>
      </c>
      <c r="G663" s="677" t="s">
        <v>87</v>
      </c>
      <c r="H663" s="677" t="s">
        <v>38</v>
      </c>
      <c r="I663" s="678" t="s">
        <v>43</v>
      </c>
      <c r="J663" s="15"/>
      <c r="K663" s="29">
        <f>K664+K666</f>
        <v>30496.7</v>
      </c>
      <c r="L663" s="29">
        <f>L664+L666</f>
        <v>0</v>
      </c>
      <c r="M663" s="29">
        <f>M664+M666</f>
        <v>30496.7</v>
      </c>
      <c r="N663" s="157"/>
    </row>
    <row r="664" spans="1:14" s="12" customFormat="1" ht="54" x14ac:dyDescent="0.35">
      <c r="A664" s="16"/>
      <c r="B664" s="497" t="s">
        <v>215</v>
      </c>
      <c r="C664" s="28" t="s">
        <v>286</v>
      </c>
      <c r="D664" s="15" t="s">
        <v>65</v>
      </c>
      <c r="E664" s="15" t="s">
        <v>38</v>
      </c>
      <c r="F664" s="676" t="s">
        <v>50</v>
      </c>
      <c r="G664" s="677" t="s">
        <v>87</v>
      </c>
      <c r="H664" s="677" t="s">
        <v>38</v>
      </c>
      <c r="I664" s="678" t="s">
        <v>288</v>
      </c>
      <c r="J664" s="15"/>
      <c r="K664" s="29">
        <f>K665</f>
        <v>645.20000000000005</v>
      </c>
      <c r="L664" s="29">
        <f>L665</f>
        <v>0</v>
      </c>
      <c r="M664" s="29">
        <f>M665</f>
        <v>645.20000000000005</v>
      </c>
      <c r="N664" s="157"/>
    </row>
    <row r="665" spans="1:14" s="12" customFormat="1" ht="54" x14ac:dyDescent="0.35">
      <c r="A665" s="16"/>
      <c r="B665" s="497" t="s">
        <v>53</v>
      </c>
      <c r="C665" s="28" t="s">
        <v>286</v>
      </c>
      <c r="D665" s="15" t="s">
        <v>65</v>
      </c>
      <c r="E665" s="15" t="s">
        <v>38</v>
      </c>
      <c r="F665" s="676" t="s">
        <v>50</v>
      </c>
      <c r="G665" s="677" t="s">
        <v>87</v>
      </c>
      <c r="H665" s="677" t="s">
        <v>38</v>
      </c>
      <c r="I665" s="678" t="s">
        <v>288</v>
      </c>
      <c r="J665" s="15" t="s">
        <v>54</v>
      </c>
      <c r="K665" s="29">
        <v>645.20000000000005</v>
      </c>
      <c r="L665" s="29">
        <f>M665-K665</f>
        <v>0</v>
      </c>
      <c r="M665" s="29">
        <v>645.20000000000005</v>
      </c>
      <c r="N665" s="157"/>
    </row>
    <row r="666" spans="1:14" s="12" customFormat="1" ht="90" x14ac:dyDescent="0.35">
      <c r="A666" s="16"/>
      <c r="B666" s="497" t="s">
        <v>565</v>
      </c>
      <c r="C666" s="28" t="s">
        <v>286</v>
      </c>
      <c r="D666" s="15" t="s">
        <v>65</v>
      </c>
      <c r="E666" s="15" t="s">
        <v>38</v>
      </c>
      <c r="F666" s="676" t="s">
        <v>50</v>
      </c>
      <c r="G666" s="677" t="s">
        <v>87</v>
      </c>
      <c r="H666" s="677" t="s">
        <v>38</v>
      </c>
      <c r="I666" s="678" t="s">
        <v>564</v>
      </c>
      <c r="J666" s="15"/>
      <c r="K666" s="29">
        <f t="shared" si="223"/>
        <v>29851.5</v>
      </c>
      <c r="L666" s="29">
        <f t="shared" si="223"/>
        <v>0</v>
      </c>
      <c r="M666" s="29">
        <f t="shared" si="223"/>
        <v>29851.5</v>
      </c>
      <c r="N666" s="157"/>
    </row>
    <row r="667" spans="1:14" s="12" customFormat="1" ht="54" customHeight="1" x14ac:dyDescent="0.35">
      <c r="A667" s="16"/>
      <c r="B667" s="497" t="s">
        <v>53</v>
      </c>
      <c r="C667" s="28" t="s">
        <v>286</v>
      </c>
      <c r="D667" s="15" t="s">
        <v>65</v>
      </c>
      <c r="E667" s="15" t="s">
        <v>38</v>
      </c>
      <c r="F667" s="676" t="s">
        <v>50</v>
      </c>
      <c r="G667" s="677" t="s">
        <v>87</v>
      </c>
      <c r="H667" s="677" t="s">
        <v>38</v>
      </c>
      <c r="I667" s="678" t="s">
        <v>564</v>
      </c>
      <c r="J667" s="15" t="s">
        <v>54</v>
      </c>
      <c r="K667" s="29">
        <f>26866.2+2985.3</f>
        <v>29851.5</v>
      </c>
      <c r="L667" s="29">
        <f>M667-K667</f>
        <v>0</v>
      </c>
      <c r="M667" s="29">
        <f>26866.2+2985.3</f>
        <v>29851.5</v>
      </c>
      <c r="N667" s="157"/>
    </row>
    <row r="668" spans="1:14" s="12" customFormat="1" ht="18" x14ac:dyDescent="0.35">
      <c r="A668" s="16"/>
      <c r="B668" s="497" t="s">
        <v>558</v>
      </c>
      <c r="C668" s="28" t="s">
        <v>286</v>
      </c>
      <c r="D668" s="15" t="s">
        <v>65</v>
      </c>
      <c r="E668" s="15" t="s">
        <v>61</v>
      </c>
      <c r="F668" s="676"/>
      <c r="G668" s="677"/>
      <c r="H668" s="677"/>
      <c r="I668" s="678"/>
      <c r="J668" s="15"/>
      <c r="K668" s="29">
        <f>K669</f>
        <v>51359.6</v>
      </c>
      <c r="L668" s="29">
        <f t="shared" ref="L668" si="224">L669</f>
        <v>462.29999999999927</v>
      </c>
      <c r="M668" s="29">
        <f>M669</f>
        <v>51821.9</v>
      </c>
      <c r="N668" s="157"/>
    </row>
    <row r="669" spans="1:14" s="12" customFormat="1" ht="54" x14ac:dyDescent="0.35">
      <c r="A669" s="16"/>
      <c r="B669" s="497" t="s">
        <v>213</v>
      </c>
      <c r="C669" s="28" t="s">
        <v>286</v>
      </c>
      <c r="D669" s="15" t="s">
        <v>65</v>
      </c>
      <c r="E669" s="15" t="s">
        <v>61</v>
      </c>
      <c r="F669" s="676" t="s">
        <v>50</v>
      </c>
      <c r="G669" s="677" t="s">
        <v>41</v>
      </c>
      <c r="H669" s="677" t="s">
        <v>42</v>
      </c>
      <c r="I669" s="678" t="s">
        <v>43</v>
      </c>
      <c r="J669" s="15"/>
      <c r="K669" s="29">
        <f>K670+K674</f>
        <v>51359.6</v>
      </c>
      <c r="L669" s="29">
        <f t="shared" ref="L669" si="225">L670+L674</f>
        <v>462.29999999999927</v>
      </c>
      <c r="M669" s="29">
        <f>M670+M674</f>
        <v>51821.9</v>
      </c>
      <c r="N669" s="157"/>
    </row>
    <row r="670" spans="1:14" s="12" customFormat="1" ht="36" x14ac:dyDescent="0.35">
      <c r="A670" s="16"/>
      <c r="B670" s="546" t="s">
        <v>214</v>
      </c>
      <c r="C670" s="28" t="s">
        <v>286</v>
      </c>
      <c r="D670" s="15" t="s">
        <v>65</v>
      </c>
      <c r="E670" s="15" t="s">
        <v>61</v>
      </c>
      <c r="F670" s="676" t="s">
        <v>50</v>
      </c>
      <c r="G670" s="677" t="s">
        <v>44</v>
      </c>
      <c r="H670" s="677" t="s">
        <v>42</v>
      </c>
      <c r="I670" s="678" t="s">
        <v>43</v>
      </c>
      <c r="J670" s="15"/>
      <c r="K670" s="29">
        <f>K671</f>
        <v>396</v>
      </c>
      <c r="L670" s="29">
        <f t="shared" ref="L670" si="226">L671</f>
        <v>0</v>
      </c>
      <c r="M670" s="29">
        <f>M671</f>
        <v>396</v>
      </c>
      <c r="N670" s="157"/>
    </row>
    <row r="671" spans="1:14" s="12" customFormat="1" ht="18" x14ac:dyDescent="0.35">
      <c r="A671" s="16"/>
      <c r="B671" s="497" t="s">
        <v>273</v>
      </c>
      <c r="C671" s="28" t="s">
        <v>286</v>
      </c>
      <c r="D671" s="15" t="s">
        <v>65</v>
      </c>
      <c r="E671" s="15" t="s">
        <v>61</v>
      </c>
      <c r="F671" s="676" t="s">
        <v>50</v>
      </c>
      <c r="G671" s="677" t="s">
        <v>44</v>
      </c>
      <c r="H671" s="677" t="s">
        <v>36</v>
      </c>
      <c r="I671" s="678" t="s">
        <v>43</v>
      </c>
      <c r="J671" s="15"/>
      <c r="K671" s="29">
        <f t="shared" ref="K671:M672" si="227">K672</f>
        <v>396</v>
      </c>
      <c r="L671" s="29">
        <f t="shared" si="227"/>
        <v>0</v>
      </c>
      <c r="M671" s="29">
        <f t="shared" si="227"/>
        <v>396</v>
      </c>
      <c r="N671" s="157"/>
    </row>
    <row r="672" spans="1:14" s="12" customFormat="1" ht="36" x14ac:dyDescent="0.35">
      <c r="A672" s="16"/>
      <c r="B672" s="497" t="s">
        <v>274</v>
      </c>
      <c r="C672" s="28" t="s">
        <v>286</v>
      </c>
      <c r="D672" s="15" t="s">
        <v>65</v>
      </c>
      <c r="E672" s="15" t="s">
        <v>61</v>
      </c>
      <c r="F672" s="676" t="s">
        <v>50</v>
      </c>
      <c r="G672" s="677" t="s">
        <v>44</v>
      </c>
      <c r="H672" s="677" t="s">
        <v>36</v>
      </c>
      <c r="I672" s="678" t="s">
        <v>275</v>
      </c>
      <c r="J672" s="15"/>
      <c r="K672" s="29">
        <f t="shared" si="227"/>
        <v>396</v>
      </c>
      <c r="L672" s="29">
        <f t="shared" si="227"/>
        <v>0</v>
      </c>
      <c r="M672" s="29">
        <f t="shared" si="227"/>
        <v>396</v>
      </c>
      <c r="N672" s="157"/>
    </row>
    <row r="673" spans="1:14" s="12" customFormat="1" ht="36" x14ac:dyDescent="0.35">
      <c r="A673" s="16"/>
      <c r="B673" s="497" t="s">
        <v>118</v>
      </c>
      <c r="C673" s="28" t="s">
        <v>286</v>
      </c>
      <c r="D673" s="15" t="s">
        <v>65</v>
      </c>
      <c r="E673" s="15" t="s">
        <v>61</v>
      </c>
      <c r="F673" s="676" t="s">
        <v>50</v>
      </c>
      <c r="G673" s="677" t="s">
        <v>44</v>
      </c>
      <c r="H673" s="677" t="s">
        <v>36</v>
      </c>
      <c r="I673" s="678" t="s">
        <v>275</v>
      </c>
      <c r="J673" s="15" t="s">
        <v>119</v>
      </c>
      <c r="K673" s="29">
        <v>396</v>
      </c>
      <c r="L673" s="29">
        <f>M673-K673</f>
        <v>0</v>
      </c>
      <c r="M673" s="29">
        <v>396</v>
      </c>
      <c r="N673" s="157"/>
    </row>
    <row r="674" spans="1:14" s="12" customFormat="1" ht="36" x14ac:dyDescent="0.35">
      <c r="A674" s="16"/>
      <c r="B674" s="497" t="s">
        <v>216</v>
      </c>
      <c r="C674" s="28" t="s">
        <v>286</v>
      </c>
      <c r="D674" s="15" t="s">
        <v>65</v>
      </c>
      <c r="E674" s="15" t="s">
        <v>61</v>
      </c>
      <c r="F674" s="676" t="s">
        <v>50</v>
      </c>
      <c r="G674" s="677" t="s">
        <v>87</v>
      </c>
      <c r="H674" s="677" t="s">
        <v>42</v>
      </c>
      <c r="I674" s="678" t="s">
        <v>43</v>
      </c>
      <c r="J674" s="15"/>
      <c r="K674" s="29">
        <f>K675</f>
        <v>50963.6</v>
      </c>
      <c r="L674" s="29">
        <f t="shared" ref="L674" si="228">L675</f>
        <v>462.29999999999927</v>
      </c>
      <c r="M674" s="29">
        <f>M675</f>
        <v>51425.9</v>
      </c>
      <c r="N674" s="157"/>
    </row>
    <row r="675" spans="1:14" s="12" customFormat="1" ht="18" x14ac:dyDescent="0.35">
      <c r="A675" s="16"/>
      <c r="B675" s="497" t="s">
        <v>357</v>
      </c>
      <c r="C675" s="28" t="s">
        <v>286</v>
      </c>
      <c r="D675" s="15" t="s">
        <v>65</v>
      </c>
      <c r="E675" s="15" t="s">
        <v>61</v>
      </c>
      <c r="F675" s="676" t="s">
        <v>50</v>
      </c>
      <c r="G675" s="677" t="s">
        <v>87</v>
      </c>
      <c r="H675" s="677" t="s">
        <v>38</v>
      </c>
      <c r="I675" s="678" t="s">
        <v>43</v>
      </c>
      <c r="J675" s="15"/>
      <c r="K675" s="29">
        <f>K676+K684+K680+K682</f>
        <v>50963.6</v>
      </c>
      <c r="L675" s="29">
        <f t="shared" ref="L675" si="229">L676+L684+L680+L682</f>
        <v>462.29999999999927</v>
      </c>
      <c r="M675" s="29">
        <f>M676+M684+M680+M682</f>
        <v>51425.9</v>
      </c>
      <c r="N675" s="157"/>
    </row>
    <row r="676" spans="1:14" s="12" customFormat="1" ht="36" x14ac:dyDescent="0.35">
      <c r="A676" s="16"/>
      <c r="B676" s="529" t="s">
        <v>454</v>
      </c>
      <c r="C676" s="28" t="s">
        <v>286</v>
      </c>
      <c r="D676" s="15" t="s">
        <v>65</v>
      </c>
      <c r="E676" s="15" t="s">
        <v>61</v>
      </c>
      <c r="F676" s="676" t="s">
        <v>50</v>
      </c>
      <c r="G676" s="677" t="s">
        <v>87</v>
      </c>
      <c r="H676" s="677" t="s">
        <v>38</v>
      </c>
      <c r="I676" s="678" t="s">
        <v>89</v>
      </c>
      <c r="J676" s="15"/>
      <c r="K676" s="29">
        <f>K677+K678+K679</f>
        <v>41429.999999999993</v>
      </c>
      <c r="L676" s="29">
        <f t="shared" ref="L676" si="230">L677+L678+L679</f>
        <v>462.29999999999927</v>
      </c>
      <c r="M676" s="29">
        <f>M677+M678+M679</f>
        <v>41892.299999999996</v>
      </c>
      <c r="N676" s="157"/>
    </row>
    <row r="677" spans="1:14" s="12" customFormat="1" ht="108" x14ac:dyDescent="0.35">
      <c r="A677" s="16"/>
      <c r="B677" s="497" t="s">
        <v>48</v>
      </c>
      <c r="C677" s="28" t="s">
        <v>286</v>
      </c>
      <c r="D677" s="15" t="s">
        <v>65</v>
      </c>
      <c r="E677" s="15" t="s">
        <v>61</v>
      </c>
      <c r="F677" s="676" t="s">
        <v>50</v>
      </c>
      <c r="G677" s="677" t="s">
        <v>87</v>
      </c>
      <c r="H677" s="677" t="s">
        <v>38</v>
      </c>
      <c r="I677" s="678" t="s">
        <v>89</v>
      </c>
      <c r="J677" s="15" t="s">
        <v>49</v>
      </c>
      <c r="K677" s="29">
        <f>26739.6</f>
        <v>26739.599999999999</v>
      </c>
      <c r="L677" s="29">
        <f>M677-K677</f>
        <v>462.29999999999927</v>
      </c>
      <c r="M677" s="29">
        <f>26739.6+462.3</f>
        <v>27201.899999999998</v>
      </c>
      <c r="N677" s="157"/>
    </row>
    <row r="678" spans="1:14" s="12" customFormat="1" ht="54" x14ac:dyDescent="0.35">
      <c r="A678" s="16"/>
      <c r="B678" s="497" t="s">
        <v>53</v>
      </c>
      <c r="C678" s="28" t="s">
        <v>286</v>
      </c>
      <c r="D678" s="15" t="s">
        <v>65</v>
      </c>
      <c r="E678" s="15" t="s">
        <v>61</v>
      </c>
      <c r="F678" s="676" t="s">
        <v>50</v>
      </c>
      <c r="G678" s="677" t="s">
        <v>87</v>
      </c>
      <c r="H678" s="677" t="s">
        <v>38</v>
      </c>
      <c r="I678" s="678" t="s">
        <v>89</v>
      </c>
      <c r="J678" s="15" t="s">
        <v>54</v>
      </c>
      <c r="K678" s="29">
        <f>12667.8+1040.8-774.3</f>
        <v>12934.3</v>
      </c>
      <c r="L678" s="29">
        <f>M678-K678</f>
        <v>0</v>
      </c>
      <c r="M678" s="29">
        <f>12667.8+1040.8-774.3</f>
        <v>12934.3</v>
      </c>
      <c r="N678" s="157"/>
    </row>
    <row r="679" spans="1:14" s="12" customFormat="1" ht="18" x14ac:dyDescent="0.35">
      <c r="A679" s="16"/>
      <c r="B679" s="497" t="s">
        <v>55</v>
      </c>
      <c r="C679" s="28" t="s">
        <v>286</v>
      </c>
      <c r="D679" s="15" t="s">
        <v>65</v>
      </c>
      <c r="E679" s="15" t="s">
        <v>61</v>
      </c>
      <c r="F679" s="676" t="s">
        <v>50</v>
      </c>
      <c r="G679" s="677" t="s">
        <v>87</v>
      </c>
      <c r="H679" s="677" t="s">
        <v>38</v>
      </c>
      <c r="I679" s="678" t="s">
        <v>89</v>
      </c>
      <c r="J679" s="15" t="s">
        <v>56</v>
      </c>
      <c r="K679" s="29">
        <v>1756.1</v>
      </c>
      <c r="L679" s="29">
        <f>M679-K679</f>
        <v>0</v>
      </c>
      <c r="M679" s="29">
        <v>1756.1</v>
      </c>
      <c r="N679" s="157"/>
    </row>
    <row r="680" spans="1:14" s="12" customFormat="1" ht="54" x14ac:dyDescent="0.35">
      <c r="A680" s="16"/>
      <c r="B680" s="497" t="s">
        <v>215</v>
      </c>
      <c r="C680" s="28" t="s">
        <v>286</v>
      </c>
      <c r="D680" s="15" t="s">
        <v>65</v>
      </c>
      <c r="E680" s="15" t="s">
        <v>61</v>
      </c>
      <c r="F680" s="676" t="s">
        <v>50</v>
      </c>
      <c r="G680" s="677" t="s">
        <v>87</v>
      </c>
      <c r="H680" s="677" t="s">
        <v>38</v>
      </c>
      <c r="I680" s="678" t="s">
        <v>288</v>
      </c>
      <c r="J680" s="15"/>
      <c r="K680" s="29">
        <f>K681</f>
        <v>6934.4000000000005</v>
      </c>
      <c r="L680" s="29">
        <f t="shared" ref="L680" si="231">L681</f>
        <v>0</v>
      </c>
      <c r="M680" s="29">
        <f>M681</f>
        <v>6934.4000000000005</v>
      </c>
      <c r="N680" s="157"/>
    </row>
    <row r="681" spans="1:14" s="12" customFormat="1" ht="54" x14ac:dyDescent="0.35">
      <c r="A681" s="16"/>
      <c r="B681" s="497" t="s">
        <v>53</v>
      </c>
      <c r="C681" s="28" t="s">
        <v>286</v>
      </c>
      <c r="D681" s="15" t="s">
        <v>65</v>
      </c>
      <c r="E681" s="15" t="s">
        <v>61</v>
      </c>
      <c r="F681" s="676" t="s">
        <v>50</v>
      </c>
      <c r="G681" s="677" t="s">
        <v>87</v>
      </c>
      <c r="H681" s="677" t="s">
        <v>38</v>
      </c>
      <c r="I681" s="678" t="s">
        <v>288</v>
      </c>
      <c r="J681" s="15" t="s">
        <v>54</v>
      </c>
      <c r="K681" s="29">
        <f>6160.1+774.3</f>
        <v>6934.4000000000005</v>
      </c>
      <c r="L681" s="29">
        <f>M681-K681</f>
        <v>0</v>
      </c>
      <c r="M681" s="29">
        <f>6160.1+774.3</f>
        <v>6934.4000000000005</v>
      </c>
      <c r="N681" s="157"/>
    </row>
    <row r="682" spans="1:14" s="12" customFormat="1" ht="180" x14ac:dyDescent="0.35">
      <c r="A682" s="16"/>
      <c r="B682" s="497" t="s">
        <v>427</v>
      </c>
      <c r="C682" s="28" t="s">
        <v>286</v>
      </c>
      <c r="D682" s="15" t="s">
        <v>65</v>
      </c>
      <c r="E682" s="15" t="s">
        <v>61</v>
      </c>
      <c r="F682" s="676" t="s">
        <v>50</v>
      </c>
      <c r="G682" s="677" t="s">
        <v>87</v>
      </c>
      <c r="H682" s="677" t="s">
        <v>38</v>
      </c>
      <c r="I682" s="678" t="s">
        <v>385</v>
      </c>
      <c r="J682" s="15"/>
      <c r="K682" s="29">
        <f>K683</f>
        <v>93.8</v>
      </c>
      <c r="L682" s="29">
        <f t="shared" ref="L682" si="232">L683</f>
        <v>0</v>
      </c>
      <c r="M682" s="29">
        <f>M683</f>
        <v>93.8</v>
      </c>
      <c r="N682" s="157"/>
    </row>
    <row r="683" spans="1:14" s="12" customFormat="1" ht="108" x14ac:dyDescent="0.35">
      <c r="A683" s="16"/>
      <c r="B683" s="497" t="s">
        <v>48</v>
      </c>
      <c r="C683" s="28" t="s">
        <v>286</v>
      </c>
      <c r="D683" s="15" t="s">
        <v>65</v>
      </c>
      <c r="E683" s="15" t="s">
        <v>61</v>
      </c>
      <c r="F683" s="676" t="s">
        <v>50</v>
      </c>
      <c r="G683" s="677" t="s">
        <v>87</v>
      </c>
      <c r="H683" s="677" t="s">
        <v>38</v>
      </c>
      <c r="I683" s="678" t="s">
        <v>385</v>
      </c>
      <c r="J683" s="15" t="s">
        <v>49</v>
      </c>
      <c r="K683" s="29">
        <v>93.8</v>
      </c>
      <c r="L683" s="29">
        <f>M683-K683</f>
        <v>0</v>
      </c>
      <c r="M683" s="29">
        <v>93.8</v>
      </c>
      <c r="N683" s="157"/>
    </row>
    <row r="684" spans="1:14" s="12" customFormat="1" ht="54" x14ac:dyDescent="0.35">
      <c r="A684" s="16"/>
      <c r="B684" s="497" t="s">
        <v>429</v>
      </c>
      <c r="C684" s="28" t="s">
        <v>286</v>
      </c>
      <c r="D684" s="15" t="s">
        <v>65</v>
      </c>
      <c r="E684" s="15" t="s">
        <v>61</v>
      </c>
      <c r="F684" s="676" t="s">
        <v>50</v>
      </c>
      <c r="G684" s="677" t="s">
        <v>87</v>
      </c>
      <c r="H684" s="677" t="s">
        <v>38</v>
      </c>
      <c r="I684" s="678" t="s">
        <v>405</v>
      </c>
      <c r="J684" s="15"/>
      <c r="K684" s="29">
        <f>K685</f>
        <v>2505.4</v>
      </c>
      <c r="L684" s="29">
        <f t="shared" ref="L684" si="233">L685</f>
        <v>0</v>
      </c>
      <c r="M684" s="29">
        <f>M685</f>
        <v>2505.4</v>
      </c>
      <c r="N684" s="157"/>
    </row>
    <row r="685" spans="1:14" s="12" customFormat="1" ht="108" x14ac:dyDescent="0.35">
      <c r="A685" s="16"/>
      <c r="B685" s="497" t="s">
        <v>48</v>
      </c>
      <c r="C685" s="28" t="s">
        <v>286</v>
      </c>
      <c r="D685" s="15" t="s">
        <v>65</v>
      </c>
      <c r="E685" s="15" t="s">
        <v>61</v>
      </c>
      <c r="F685" s="676" t="s">
        <v>50</v>
      </c>
      <c r="G685" s="677" t="s">
        <v>87</v>
      </c>
      <c r="H685" s="677" t="s">
        <v>38</v>
      </c>
      <c r="I685" s="678" t="s">
        <v>405</v>
      </c>
      <c r="J685" s="15" t="s">
        <v>49</v>
      </c>
      <c r="K685" s="29">
        <f>2114.8+39.1+351.5</f>
        <v>2505.4</v>
      </c>
      <c r="L685" s="29">
        <f>M685-K685</f>
        <v>0</v>
      </c>
      <c r="M685" s="29">
        <f>2114.8+39.1+351.5</f>
        <v>2505.4</v>
      </c>
      <c r="N685" s="157"/>
    </row>
    <row r="686" spans="1:14" s="12" customFormat="1" ht="36" customHeight="1" x14ac:dyDescent="0.35">
      <c r="A686" s="16"/>
      <c r="B686" s="546" t="s">
        <v>196</v>
      </c>
      <c r="C686" s="28" t="s">
        <v>286</v>
      </c>
      <c r="D686" s="15" t="s">
        <v>65</v>
      </c>
      <c r="E686" s="15" t="s">
        <v>63</v>
      </c>
      <c r="F686" s="676"/>
      <c r="G686" s="677"/>
      <c r="H686" s="677"/>
      <c r="I686" s="678"/>
      <c r="J686" s="15"/>
      <c r="K686" s="29">
        <f t="shared" ref="K686:M689" si="234">K687</f>
        <v>3088.7000000000003</v>
      </c>
      <c r="L686" s="29">
        <f t="shared" si="234"/>
        <v>0</v>
      </c>
      <c r="M686" s="29">
        <f t="shared" si="234"/>
        <v>3088.7000000000003</v>
      </c>
      <c r="N686" s="157"/>
    </row>
    <row r="687" spans="1:14" s="12" customFormat="1" ht="54" customHeight="1" x14ac:dyDescent="0.35">
      <c r="A687" s="16"/>
      <c r="B687" s="497" t="s">
        <v>213</v>
      </c>
      <c r="C687" s="28" t="s">
        <v>286</v>
      </c>
      <c r="D687" s="15" t="s">
        <v>65</v>
      </c>
      <c r="E687" s="15" t="s">
        <v>63</v>
      </c>
      <c r="F687" s="676" t="s">
        <v>50</v>
      </c>
      <c r="G687" s="677" t="s">
        <v>41</v>
      </c>
      <c r="H687" s="677" t="s">
        <v>42</v>
      </c>
      <c r="I687" s="678" t="s">
        <v>43</v>
      </c>
      <c r="J687" s="15"/>
      <c r="K687" s="29">
        <f t="shared" si="234"/>
        <v>3088.7000000000003</v>
      </c>
      <c r="L687" s="29">
        <f t="shared" si="234"/>
        <v>0</v>
      </c>
      <c r="M687" s="29">
        <f t="shared" si="234"/>
        <v>3088.7000000000003</v>
      </c>
      <c r="N687" s="157"/>
    </row>
    <row r="688" spans="1:14" s="12" customFormat="1" ht="36" customHeight="1" x14ac:dyDescent="0.35">
      <c r="A688" s="16"/>
      <c r="B688" s="504" t="s">
        <v>216</v>
      </c>
      <c r="C688" s="28" t="s">
        <v>286</v>
      </c>
      <c r="D688" s="15" t="s">
        <v>65</v>
      </c>
      <c r="E688" s="15" t="s">
        <v>63</v>
      </c>
      <c r="F688" s="676" t="s">
        <v>50</v>
      </c>
      <c r="G688" s="677" t="s">
        <v>87</v>
      </c>
      <c r="H688" s="677" t="s">
        <v>42</v>
      </c>
      <c r="I688" s="678" t="s">
        <v>43</v>
      </c>
      <c r="J688" s="15"/>
      <c r="K688" s="29">
        <f t="shared" si="234"/>
        <v>3088.7000000000003</v>
      </c>
      <c r="L688" s="29">
        <f t="shared" si="234"/>
        <v>0</v>
      </c>
      <c r="M688" s="29">
        <f t="shared" si="234"/>
        <v>3088.7000000000003</v>
      </c>
      <c r="N688" s="157"/>
    </row>
    <row r="689" spans="1:14" s="12" customFormat="1" ht="36" customHeight="1" x14ac:dyDescent="0.35">
      <c r="A689" s="16"/>
      <c r="B689" s="497" t="s">
        <v>278</v>
      </c>
      <c r="C689" s="28" t="s">
        <v>286</v>
      </c>
      <c r="D689" s="15" t="s">
        <v>65</v>
      </c>
      <c r="E689" s="15" t="s">
        <v>63</v>
      </c>
      <c r="F689" s="676" t="s">
        <v>50</v>
      </c>
      <c r="G689" s="677" t="s">
        <v>87</v>
      </c>
      <c r="H689" s="677" t="s">
        <v>36</v>
      </c>
      <c r="I689" s="678" t="s">
        <v>43</v>
      </c>
      <c r="J689" s="15"/>
      <c r="K689" s="29">
        <f t="shared" si="234"/>
        <v>3088.7000000000003</v>
      </c>
      <c r="L689" s="29">
        <f t="shared" si="234"/>
        <v>0</v>
      </c>
      <c r="M689" s="29">
        <f t="shared" si="234"/>
        <v>3088.7000000000003</v>
      </c>
      <c r="N689" s="157"/>
    </row>
    <row r="690" spans="1:14" s="12" customFormat="1" ht="36" customHeight="1" x14ac:dyDescent="0.35">
      <c r="A690" s="16"/>
      <c r="B690" s="497" t="s">
        <v>46</v>
      </c>
      <c r="C690" s="28" t="s">
        <v>286</v>
      </c>
      <c r="D690" s="15" t="s">
        <v>65</v>
      </c>
      <c r="E690" s="15" t="s">
        <v>63</v>
      </c>
      <c r="F690" s="676" t="s">
        <v>50</v>
      </c>
      <c r="G690" s="677" t="s">
        <v>87</v>
      </c>
      <c r="H690" s="677" t="s">
        <v>36</v>
      </c>
      <c r="I690" s="678" t="s">
        <v>47</v>
      </c>
      <c r="J690" s="15"/>
      <c r="K690" s="29">
        <f>K691+K692+K693</f>
        <v>3088.7000000000003</v>
      </c>
      <c r="L690" s="29">
        <f t="shared" ref="L690" si="235">L691+L692+L693</f>
        <v>0</v>
      </c>
      <c r="M690" s="29">
        <f>M691+M692+M693</f>
        <v>3088.7000000000003</v>
      </c>
      <c r="N690" s="157"/>
    </row>
    <row r="691" spans="1:14" s="12" customFormat="1" ht="108" customHeight="1" x14ac:dyDescent="0.35">
      <c r="A691" s="16"/>
      <c r="B691" s="497" t="s">
        <v>48</v>
      </c>
      <c r="C691" s="28" t="s">
        <v>286</v>
      </c>
      <c r="D691" s="15" t="s">
        <v>65</v>
      </c>
      <c r="E691" s="15" t="s">
        <v>63</v>
      </c>
      <c r="F691" s="676" t="s">
        <v>50</v>
      </c>
      <c r="G691" s="677" t="s">
        <v>87</v>
      </c>
      <c r="H691" s="677" t="s">
        <v>36</v>
      </c>
      <c r="I691" s="678" t="s">
        <v>47</v>
      </c>
      <c r="J691" s="15" t="s">
        <v>49</v>
      </c>
      <c r="K691" s="29">
        <v>3027.5</v>
      </c>
      <c r="L691" s="29">
        <f>M691-K691</f>
        <v>0</v>
      </c>
      <c r="M691" s="29">
        <v>3027.5</v>
      </c>
      <c r="N691" s="157"/>
    </row>
    <row r="692" spans="1:14" s="12" customFormat="1" ht="54" customHeight="1" x14ac:dyDescent="0.35">
      <c r="A692" s="16"/>
      <c r="B692" s="497" t="s">
        <v>53</v>
      </c>
      <c r="C692" s="28" t="s">
        <v>286</v>
      </c>
      <c r="D692" s="15" t="s">
        <v>65</v>
      </c>
      <c r="E692" s="15" t="s">
        <v>63</v>
      </c>
      <c r="F692" s="676" t="s">
        <v>50</v>
      </c>
      <c r="G692" s="677" t="s">
        <v>87</v>
      </c>
      <c r="H692" s="677" t="s">
        <v>36</v>
      </c>
      <c r="I692" s="678" t="s">
        <v>47</v>
      </c>
      <c r="J692" s="15" t="s">
        <v>54</v>
      </c>
      <c r="K692" s="29">
        <v>59.4</v>
      </c>
      <c r="L692" s="29">
        <f>M692-K692</f>
        <v>0</v>
      </c>
      <c r="M692" s="29">
        <v>59.4</v>
      </c>
      <c r="N692" s="157"/>
    </row>
    <row r="693" spans="1:14" s="12" customFormat="1" ht="18" customHeight="1" x14ac:dyDescent="0.35">
      <c r="A693" s="16"/>
      <c r="B693" s="497" t="s">
        <v>55</v>
      </c>
      <c r="C693" s="28" t="s">
        <v>286</v>
      </c>
      <c r="D693" s="15" t="s">
        <v>65</v>
      </c>
      <c r="E693" s="15" t="s">
        <v>63</v>
      </c>
      <c r="F693" s="676" t="s">
        <v>50</v>
      </c>
      <c r="G693" s="677" t="s">
        <v>87</v>
      </c>
      <c r="H693" s="677" t="s">
        <v>36</v>
      </c>
      <c r="I693" s="678" t="s">
        <v>47</v>
      </c>
      <c r="J693" s="15" t="s">
        <v>56</v>
      </c>
      <c r="K693" s="29">
        <v>1.8</v>
      </c>
      <c r="L693" s="29">
        <f>M693-K693</f>
        <v>0</v>
      </c>
      <c r="M693" s="29">
        <v>1.8</v>
      </c>
      <c r="N693" s="157"/>
    </row>
    <row r="694" spans="1:14" s="12" customFormat="1" ht="18" customHeight="1" x14ac:dyDescent="0.35">
      <c r="A694" s="16"/>
      <c r="B694" s="497"/>
      <c r="C694" s="28"/>
      <c r="D694" s="15"/>
      <c r="E694" s="15"/>
      <c r="F694" s="676"/>
      <c r="G694" s="677"/>
      <c r="H694" s="677"/>
      <c r="I694" s="678"/>
      <c r="J694" s="15"/>
      <c r="K694" s="29"/>
      <c r="L694" s="29"/>
      <c r="M694" s="29"/>
      <c r="N694" s="157"/>
    </row>
    <row r="695" spans="1:14" s="116" customFormat="1" ht="52.2" customHeight="1" x14ac:dyDescent="0.3">
      <c r="A695" s="115">
        <v>8</v>
      </c>
      <c r="B695" s="543" t="s">
        <v>11</v>
      </c>
      <c r="C695" s="23" t="s">
        <v>282</v>
      </c>
      <c r="D695" s="24"/>
      <c r="E695" s="24"/>
      <c r="F695" s="25"/>
      <c r="G695" s="26"/>
      <c r="H695" s="26"/>
      <c r="I695" s="27"/>
      <c r="J695" s="24"/>
      <c r="K695" s="37">
        <f>K712+K696</f>
        <v>10148.299999999999</v>
      </c>
      <c r="L695" s="37">
        <f t="shared" ref="L695" si="236">L712+L696</f>
        <v>102.20000000000005</v>
      </c>
      <c r="M695" s="37">
        <f>M712+M696</f>
        <v>10250.499999999998</v>
      </c>
    </row>
    <row r="696" spans="1:14" s="116" customFormat="1" ht="18" customHeight="1" x14ac:dyDescent="0.35">
      <c r="A696" s="115"/>
      <c r="B696" s="497" t="s">
        <v>35</v>
      </c>
      <c r="C696" s="28" t="s">
        <v>282</v>
      </c>
      <c r="D696" s="15" t="s">
        <v>36</v>
      </c>
      <c r="E696" s="15"/>
      <c r="F696" s="676"/>
      <c r="G696" s="677"/>
      <c r="H696" s="677"/>
      <c r="I696" s="678"/>
      <c r="J696" s="15"/>
      <c r="K696" s="211">
        <f t="shared" ref="K696:M698" si="237">K697</f>
        <v>155.79999999999998</v>
      </c>
      <c r="L696" s="211">
        <f t="shared" si="237"/>
        <v>0</v>
      </c>
      <c r="M696" s="211">
        <f t="shared" si="237"/>
        <v>155.79999999999998</v>
      </c>
    </row>
    <row r="697" spans="1:14" s="116" customFormat="1" ht="18" customHeight="1" x14ac:dyDescent="0.35">
      <c r="A697" s="115"/>
      <c r="B697" s="497" t="s">
        <v>68</v>
      </c>
      <c r="C697" s="28" t="s">
        <v>282</v>
      </c>
      <c r="D697" s="15" t="s">
        <v>36</v>
      </c>
      <c r="E697" s="15" t="s">
        <v>69</v>
      </c>
      <c r="F697" s="676"/>
      <c r="G697" s="677"/>
      <c r="H697" s="677"/>
      <c r="I697" s="678"/>
      <c r="J697" s="15"/>
      <c r="K697" s="211">
        <f>K698</f>
        <v>155.79999999999998</v>
      </c>
      <c r="L697" s="211">
        <f t="shared" si="237"/>
        <v>0</v>
      </c>
      <c r="M697" s="211">
        <f>M698</f>
        <v>155.79999999999998</v>
      </c>
    </row>
    <row r="698" spans="1:14" s="116" customFormat="1" ht="54" customHeight="1" x14ac:dyDescent="0.35">
      <c r="A698" s="115"/>
      <c r="B698" s="497" t="s">
        <v>217</v>
      </c>
      <c r="C698" s="28" t="s">
        <v>282</v>
      </c>
      <c r="D698" s="15" t="s">
        <v>36</v>
      </c>
      <c r="E698" s="15" t="s">
        <v>69</v>
      </c>
      <c r="F698" s="676" t="s">
        <v>63</v>
      </c>
      <c r="G698" s="677" t="s">
        <v>41</v>
      </c>
      <c r="H698" s="677" t="s">
        <v>42</v>
      </c>
      <c r="I698" s="678" t="s">
        <v>43</v>
      </c>
      <c r="J698" s="15"/>
      <c r="K698" s="211">
        <f t="shared" si="237"/>
        <v>155.79999999999998</v>
      </c>
      <c r="L698" s="211">
        <f t="shared" si="237"/>
        <v>0</v>
      </c>
      <c r="M698" s="211">
        <f t="shared" si="237"/>
        <v>155.79999999999998</v>
      </c>
    </row>
    <row r="699" spans="1:14" s="116" customFormat="1" ht="36" customHeight="1" x14ac:dyDescent="0.35">
      <c r="A699" s="115"/>
      <c r="B699" s="497" t="s">
        <v>216</v>
      </c>
      <c r="C699" s="28" t="s">
        <v>282</v>
      </c>
      <c r="D699" s="15" t="s">
        <v>36</v>
      </c>
      <c r="E699" s="15" t="s">
        <v>69</v>
      </c>
      <c r="F699" s="676" t="s">
        <v>63</v>
      </c>
      <c r="G699" s="677" t="s">
        <v>87</v>
      </c>
      <c r="H699" s="677" t="s">
        <v>42</v>
      </c>
      <c r="I699" s="678" t="s">
        <v>43</v>
      </c>
      <c r="J699" s="15"/>
      <c r="K699" s="211">
        <f>K703+K706+K709+K700</f>
        <v>155.79999999999998</v>
      </c>
      <c r="L699" s="211">
        <f t="shared" ref="L699" si="238">L703+L706+L709+L700</f>
        <v>0</v>
      </c>
      <c r="M699" s="211">
        <f>M703+M706+M709+M700</f>
        <v>155.79999999999998</v>
      </c>
    </row>
    <row r="700" spans="1:14" s="116" customFormat="1" ht="36" x14ac:dyDescent="0.35">
      <c r="A700" s="115"/>
      <c r="B700" s="497" t="s">
        <v>278</v>
      </c>
      <c r="C700" s="28" t="s">
        <v>282</v>
      </c>
      <c r="D700" s="15" t="s">
        <v>36</v>
      </c>
      <c r="E700" s="15" t="s">
        <v>69</v>
      </c>
      <c r="F700" s="676" t="s">
        <v>63</v>
      </c>
      <c r="G700" s="677" t="s">
        <v>87</v>
      </c>
      <c r="H700" s="677" t="s">
        <v>36</v>
      </c>
      <c r="I700" s="678" t="s">
        <v>43</v>
      </c>
      <c r="J700" s="33"/>
      <c r="K700" s="211">
        <f>K701</f>
        <v>6.6</v>
      </c>
      <c r="L700" s="211">
        <f t="shared" ref="L700:L701" si="239">L701</f>
        <v>0</v>
      </c>
      <c r="M700" s="211">
        <f>M701</f>
        <v>6.6</v>
      </c>
    </row>
    <row r="701" spans="1:14" s="116" customFormat="1" ht="54" customHeight="1" x14ac:dyDescent="0.35">
      <c r="A701" s="115"/>
      <c r="B701" s="568" t="s">
        <v>375</v>
      </c>
      <c r="C701" s="28" t="s">
        <v>282</v>
      </c>
      <c r="D701" s="15" t="s">
        <v>36</v>
      </c>
      <c r="E701" s="15" t="s">
        <v>69</v>
      </c>
      <c r="F701" s="676" t="s">
        <v>63</v>
      </c>
      <c r="G701" s="677" t="s">
        <v>87</v>
      </c>
      <c r="H701" s="677" t="s">
        <v>36</v>
      </c>
      <c r="I701" s="678" t="s">
        <v>374</v>
      </c>
      <c r="J701" s="33"/>
      <c r="K701" s="211">
        <f>K702</f>
        <v>6.6</v>
      </c>
      <c r="L701" s="211">
        <f t="shared" si="239"/>
        <v>0</v>
      </c>
      <c r="M701" s="211">
        <f>M702</f>
        <v>6.6</v>
      </c>
    </row>
    <row r="702" spans="1:14" s="116" customFormat="1" ht="54" customHeight="1" x14ac:dyDescent="0.35">
      <c r="A702" s="115"/>
      <c r="B702" s="568" t="s">
        <v>53</v>
      </c>
      <c r="C702" s="28" t="s">
        <v>282</v>
      </c>
      <c r="D702" s="15" t="s">
        <v>36</v>
      </c>
      <c r="E702" s="15" t="s">
        <v>69</v>
      </c>
      <c r="F702" s="676" t="s">
        <v>63</v>
      </c>
      <c r="G702" s="677" t="s">
        <v>87</v>
      </c>
      <c r="H702" s="677" t="s">
        <v>36</v>
      </c>
      <c r="I702" s="678" t="s">
        <v>374</v>
      </c>
      <c r="J702" s="33" t="s">
        <v>54</v>
      </c>
      <c r="K702" s="211">
        <v>6.6</v>
      </c>
      <c r="L702" s="29">
        <f>M702-K702</f>
        <v>0</v>
      </c>
      <c r="M702" s="211">
        <v>6.6</v>
      </c>
    </row>
    <row r="703" spans="1:14" s="116" customFormat="1" ht="36" customHeight="1" x14ac:dyDescent="0.35">
      <c r="A703" s="115"/>
      <c r="B703" s="568" t="s">
        <v>347</v>
      </c>
      <c r="C703" s="28" t="s">
        <v>282</v>
      </c>
      <c r="D703" s="15" t="s">
        <v>36</v>
      </c>
      <c r="E703" s="15" t="s">
        <v>69</v>
      </c>
      <c r="F703" s="676" t="s">
        <v>63</v>
      </c>
      <c r="G703" s="677" t="s">
        <v>87</v>
      </c>
      <c r="H703" s="677" t="s">
        <v>38</v>
      </c>
      <c r="I703" s="678" t="s">
        <v>43</v>
      </c>
      <c r="J703" s="15"/>
      <c r="K703" s="211">
        <f t="shared" ref="K703:M704" si="240">K704</f>
        <v>87.3</v>
      </c>
      <c r="L703" s="211">
        <f t="shared" si="240"/>
        <v>0</v>
      </c>
      <c r="M703" s="211">
        <f t="shared" si="240"/>
        <v>87.3</v>
      </c>
    </row>
    <row r="704" spans="1:14" s="116" customFormat="1" ht="54" customHeight="1" x14ac:dyDescent="0.35">
      <c r="A704" s="115"/>
      <c r="B704" s="568" t="s">
        <v>348</v>
      </c>
      <c r="C704" s="28" t="s">
        <v>282</v>
      </c>
      <c r="D704" s="15" t="s">
        <v>36</v>
      </c>
      <c r="E704" s="15" t="s">
        <v>69</v>
      </c>
      <c r="F704" s="676" t="s">
        <v>63</v>
      </c>
      <c r="G704" s="677" t="s">
        <v>87</v>
      </c>
      <c r="H704" s="677" t="s">
        <v>38</v>
      </c>
      <c r="I704" s="678" t="s">
        <v>103</v>
      </c>
      <c r="J704" s="15"/>
      <c r="K704" s="211">
        <f t="shared" si="240"/>
        <v>87.3</v>
      </c>
      <c r="L704" s="211">
        <f t="shared" si="240"/>
        <v>0</v>
      </c>
      <c r="M704" s="211">
        <f t="shared" si="240"/>
        <v>87.3</v>
      </c>
    </row>
    <row r="705" spans="1:13" s="116" customFormat="1" ht="54" customHeight="1" x14ac:dyDescent="0.35">
      <c r="A705" s="115"/>
      <c r="B705" s="568" t="s">
        <v>53</v>
      </c>
      <c r="C705" s="28" t="s">
        <v>282</v>
      </c>
      <c r="D705" s="15" t="s">
        <v>36</v>
      </c>
      <c r="E705" s="15" t="s">
        <v>69</v>
      </c>
      <c r="F705" s="676" t="s">
        <v>63</v>
      </c>
      <c r="G705" s="677" t="s">
        <v>87</v>
      </c>
      <c r="H705" s="677" t="s">
        <v>38</v>
      </c>
      <c r="I705" s="678" t="s">
        <v>103</v>
      </c>
      <c r="J705" s="15" t="s">
        <v>54</v>
      </c>
      <c r="K705" s="211">
        <v>87.3</v>
      </c>
      <c r="L705" s="29">
        <f>M705-K705</f>
        <v>0</v>
      </c>
      <c r="M705" s="211">
        <v>87.3</v>
      </c>
    </row>
    <row r="706" spans="1:13" s="116" customFormat="1" ht="36" customHeight="1" x14ac:dyDescent="0.35">
      <c r="A706" s="115"/>
      <c r="B706" s="497" t="s">
        <v>458</v>
      </c>
      <c r="C706" s="28" t="s">
        <v>282</v>
      </c>
      <c r="D706" s="15" t="s">
        <v>36</v>
      </c>
      <c r="E706" s="15" t="s">
        <v>69</v>
      </c>
      <c r="F706" s="676" t="s">
        <v>63</v>
      </c>
      <c r="G706" s="677" t="s">
        <v>87</v>
      </c>
      <c r="H706" s="677" t="s">
        <v>61</v>
      </c>
      <c r="I706" s="678" t="s">
        <v>43</v>
      </c>
      <c r="J706" s="15"/>
      <c r="K706" s="211">
        <f t="shared" ref="K706:M707" si="241">K707</f>
        <v>15.4</v>
      </c>
      <c r="L706" s="211">
        <f t="shared" si="241"/>
        <v>0</v>
      </c>
      <c r="M706" s="211">
        <f t="shared" si="241"/>
        <v>15.4</v>
      </c>
    </row>
    <row r="707" spans="1:13" s="116" customFormat="1" ht="18" customHeight="1" x14ac:dyDescent="0.35">
      <c r="A707" s="115"/>
      <c r="B707" s="497" t="s">
        <v>456</v>
      </c>
      <c r="C707" s="28" t="s">
        <v>282</v>
      </c>
      <c r="D707" s="15" t="s">
        <v>36</v>
      </c>
      <c r="E707" s="15" t="s">
        <v>69</v>
      </c>
      <c r="F707" s="676" t="s">
        <v>63</v>
      </c>
      <c r="G707" s="677" t="s">
        <v>87</v>
      </c>
      <c r="H707" s="677" t="s">
        <v>61</v>
      </c>
      <c r="I707" s="678" t="s">
        <v>457</v>
      </c>
      <c r="J707" s="15"/>
      <c r="K707" s="211">
        <f t="shared" si="241"/>
        <v>15.4</v>
      </c>
      <c r="L707" s="211">
        <f t="shared" si="241"/>
        <v>0</v>
      </c>
      <c r="M707" s="211">
        <f t="shared" si="241"/>
        <v>15.4</v>
      </c>
    </row>
    <row r="708" spans="1:13" s="116" customFormat="1" ht="54" customHeight="1" x14ac:dyDescent="0.35">
      <c r="A708" s="115"/>
      <c r="B708" s="568" t="s">
        <v>53</v>
      </c>
      <c r="C708" s="28" t="s">
        <v>282</v>
      </c>
      <c r="D708" s="15" t="s">
        <v>36</v>
      </c>
      <c r="E708" s="15" t="s">
        <v>69</v>
      </c>
      <c r="F708" s="676" t="s">
        <v>63</v>
      </c>
      <c r="G708" s="677" t="s">
        <v>87</v>
      </c>
      <c r="H708" s="677" t="s">
        <v>61</v>
      </c>
      <c r="I708" s="678" t="s">
        <v>457</v>
      </c>
      <c r="J708" s="33" t="s">
        <v>54</v>
      </c>
      <c r="K708" s="211">
        <v>15.4</v>
      </c>
      <c r="L708" s="29">
        <f>M708-K708</f>
        <v>0</v>
      </c>
      <c r="M708" s="211">
        <v>15.4</v>
      </c>
    </row>
    <row r="709" spans="1:13" s="116" customFormat="1" ht="36" customHeight="1" x14ac:dyDescent="0.35">
      <c r="A709" s="115"/>
      <c r="B709" s="568" t="s">
        <v>461</v>
      </c>
      <c r="C709" s="28" t="s">
        <v>282</v>
      </c>
      <c r="D709" s="15" t="s">
        <v>36</v>
      </c>
      <c r="E709" s="15" t="s">
        <v>69</v>
      </c>
      <c r="F709" s="676" t="s">
        <v>63</v>
      </c>
      <c r="G709" s="677" t="s">
        <v>87</v>
      </c>
      <c r="H709" s="677" t="s">
        <v>50</v>
      </c>
      <c r="I709" s="678" t="s">
        <v>43</v>
      </c>
      <c r="J709" s="24"/>
      <c r="K709" s="211">
        <f t="shared" ref="K709:M710" si="242">K710</f>
        <v>46.5</v>
      </c>
      <c r="L709" s="211">
        <f t="shared" si="242"/>
        <v>0</v>
      </c>
      <c r="M709" s="211">
        <f t="shared" si="242"/>
        <v>46.5</v>
      </c>
    </row>
    <row r="710" spans="1:13" s="116" customFormat="1" ht="36" customHeight="1" x14ac:dyDescent="0.35">
      <c r="A710" s="115"/>
      <c r="B710" s="569" t="s">
        <v>125</v>
      </c>
      <c r="C710" s="28" t="s">
        <v>282</v>
      </c>
      <c r="D710" s="15" t="s">
        <v>36</v>
      </c>
      <c r="E710" s="15" t="s">
        <v>69</v>
      </c>
      <c r="F710" s="676" t="s">
        <v>63</v>
      </c>
      <c r="G710" s="677" t="s">
        <v>87</v>
      </c>
      <c r="H710" s="677" t="s">
        <v>50</v>
      </c>
      <c r="I710" s="678" t="s">
        <v>88</v>
      </c>
      <c r="J710" s="24"/>
      <c r="K710" s="211">
        <f t="shared" si="242"/>
        <v>46.5</v>
      </c>
      <c r="L710" s="211">
        <f t="shared" si="242"/>
        <v>0</v>
      </c>
      <c r="M710" s="211">
        <f t="shared" si="242"/>
        <v>46.5</v>
      </c>
    </row>
    <row r="711" spans="1:13" s="116" customFormat="1" ht="54" customHeight="1" x14ac:dyDescent="0.35">
      <c r="A711" s="115"/>
      <c r="B711" s="568" t="s">
        <v>53</v>
      </c>
      <c r="C711" s="28" t="s">
        <v>282</v>
      </c>
      <c r="D711" s="15" t="s">
        <v>36</v>
      </c>
      <c r="E711" s="15" t="s">
        <v>69</v>
      </c>
      <c r="F711" s="676" t="s">
        <v>63</v>
      </c>
      <c r="G711" s="677" t="s">
        <v>87</v>
      </c>
      <c r="H711" s="677" t="s">
        <v>50</v>
      </c>
      <c r="I711" s="678" t="s">
        <v>88</v>
      </c>
      <c r="J711" s="33" t="s">
        <v>54</v>
      </c>
      <c r="K711" s="211">
        <v>46.5</v>
      </c>
      <c r="L711" s="29">
        <f>M711-K711</f>
        <v>0</v>
      </c>
      <c r="M711" s="211">
        <v>46.5</v>
      </c>
    </row>
    <row r="712" spans="1:13" s="12" customFormat="1" ht="18" customHeight="1" x14ac:dyDescent="0.35">
      <c r="A712" s="115"/>
      <c r="B712" s="497" t="s">
        <v>176</v>
      </c>
      <c r="C712" s="28" t="s">
        <v>282</v>
      </c>
      <c r="D712" s="15" t="s">
        <v>220</v>
      </c>
      <c r="E712" s="15"/>
      <c r="F712" s="676"/>
      <c r="G712" s="677"/>
      <c r="H712" s="677"/>
      <c r="I712" s="678"/>
      <c r="J712" s="15"/>
      <c r="K712" s="29">
        <f>K713+K723</f>
        <v>9992.5</v>
      </c>
      <c r="L712" s="29">
        <f t="shared" ref="L712" si="243">L713+L723</f>
        <v>102.20000000000005</v>
      </c>
      <c r="M712" s="29">
        <f>M713+M723</f>
        <v>10094.699999999999</v>
      </c>
    </row>
    <row r="713" spans="1:13" s="116" customFormat="1" ht="18" customHeight="1" x14ac:dyDescent="0.35">
      <c r="A713" s="115"/>
      <c r="B713" s="497" t="s">
        <v>346</v>
      </c>
      <c r="C713" s="28" t="s">
        <v>282</v>
      </c>
      <c r="D713" s="15" t="s">
        <v>220</v>
      </c>
      <c r="E713" s="15" t="s">
        <v>220</v>
      </c>
      <c r="F713" s="676"/>
      <c r="G713" s="677"/>
      <c r="H713" s="677"/>
      <c r="I713" s="678"/>
      <c r="J713" s="15"/>
      <c r="K713" s="29">
        <f t="shared" ref="K713:M715" si="244">K714</f>
        <v>6312.4</v>
      </c>
      <c r="L713" s="29">
        <f t="shared" si="244"/>
        <v>102.20000000000005</v>
      </c>
      <c r="M713" s="29">
        <f t="shared" si="244"/>
        <v>6414.5999999999995</v>
      </c>
    </row>
    <row r="714" spans="1:13" s="116" customFormat="1" ht="54" customHeight="1" x14ac:dyDescent="0.35">
      <c r="A714" s="115"/>
      <c r="B714" s="497" t="s">
        <v>217</v>
      </c>
      <c r="C714" s="28" t="s">
        <v>282</v>
      </c>
      <c r="D714" s="15" t="s">
        <v>220</v>
      </c>
      <c r="E714" s="15" t="s">
        <v>220</v>
      </c>
      <c r="F714" s="676" t="s">
        <v>63</v>
      </c>
      <c r="G714" s="677" t="s">
        <v>41</v>
      </c>
      <c r="H714" s="677" t="s">
        <v>42</v>
      </c>
      <c r="I714" s="678" t="s">
        <v>43</v>
      </c>
      <c r="J714" s="15"/>
      <c r="K714" s="29">
        <f t="shared" si="244"/>
        <v>6312.4</v>
      </c>
      <c r="L714" s="29">
        <f t="shared" si="244"/>
        <v>102.20000000000005</v>
      </c>
      <c r="M714" s="29">
        <f t="shared" si="244"/>
        <v>6414.5999999999995</v>
      </c>
    </row>
    <row r="715" spans="1:13" s="116" customFormat="1" ht="18" customHeight="1" x14ac:dyDescent="0.35">
      <c r="A715" s="115"/>
      <c r="B715" s="497" t="s">
        <v>218</v>
      </c>
      <c r="C715" s="28" t="s">
        <v>282</v>
      </c>
      <c r="D715" s="15" t="s">
        <v>220</v>
      </c>
      <c r="E715" s="15" t="s">
        <v>220</v>
      </c>
      <c r="F715" s="676" t="s">
        <v>63</v>
      </c>
      <c r="G715" s="677" t="s">
        <v>44</v>
      </c>
      <c r="H715" s="677" t="s">
        <v>42</v>
      </c>
      <c r="I715" s="678" t="s">
        <v>43</v>
      </c>
      <c r="J715" s="15"/>
      <c r="K715" s="29">
        <f t="shared" si="244"/>
        <v>6312.4</v>
      </c>
      <c r="L715" s="29">
        <f t="shared" si="244"/>
        <v>102.20000000000005</v>
      </c>
      <c r="M715" s="29">
        <f t="shared" si="244"/>
        <v>6414.5999999999995</v>
      </c>
    </row>
    <row r="716" spans="1:13" s="116" customFormat="1" ht="84" customHeight="1" x14ac:dyDescent="0.35">
      <c r="A716" s="115"/>
      <c r="B716" s="497" t="s">
        <v>283</v>
      </c>
      <c r="C716" s="28" t="s">
        <v>282</v>
      </c>
      <c r="D716" s="15" t="s">
        <v>220</v>
      </c>
      <c r="E716" s="15" t="s">
        <v>220</v>
      </c>
      <c r="F716" s="676" t="s">
        <v>63</v>
      </c>
      <c r="G716" s="677" t="s">
        <v>44</v>
      </c>
      <c r="H716" s="677" t="s">
        <v>36</v>
      </c>
      <c r="I716" s="678" t="s">
        <v>43</v>
      </c>
      <c r="J716" s="15"/>
      <c r="K716" s="29">
        <f>K717+K721</f>
        <v>6312.4</v>
      </c>
      <c r="L716" s="29">
        <f t="shared" ref="L716" si="245">L717+L721</f>
        <v>102.20000000000005</v>
      </c>
      <c r="M716" s="29">
        <f>M717+M721</f>
        <v>6414.5999999999995</v>
      </c>
    </row>
    <row r="717" spans="1:13" s="116" customFormat="1" ht="51" customHeight="1" x14ac:dyDescent="0.35">
      <c r="A717" s="115"/>
      <c r="B717" s="529" t="s">
        <v>454</v>
      </c>
      <c r="C717" s="28" t="s">
        <v>282</v>
      </c>
      <c r="D717" s="15" t="s">
        <v>220</v>
      </c>
      <c r="E717" s="15" t="s">
        <v>220</v>
      </c>
      <c r="F717" s="676" t="s">
        <v>63</v>
      </c>
      <c r="G717" s="677" t="s">
        <v>44</v>
      </c>
      <c r="H717" s="677" t="s">
        <v>36</v>
      </c>
      <c r="I717" s="678" t="s">
        <v>89</v>
      </c>
      <c r="J717" s="15"/>
      <c r="K717" s="29">
        <f>K718+K719+K720</f>
        <v>4406.8999999999996</v>
      </c>
      <c r="L717" s="29">
        <f t="shared" ref="L717" si="246">L718+L719+L720</f>
        <v>0</v>
      </c>
      <c r="M717" s="29">
        <f>M718+M719+M720</f>
        <v>4406.8999999999996</v>
      </c>
    </row>
    <row r="718" spans="1:13" s="116" customFormat="1" ht="108" customHeight="1" x14ac:dyDescent="0.35">
      <c r="A718" s="16"/>
      <c r="B718" s="497" t="s">
        <v>48</v>
      </c>
      <c r="C718" s="28" t="s">
        <v>282</v>
      </c>
      <c r="D718" s="15" t="s">
        <v>220</v>
      </c>
      <c r="E718" s="15" t="s">
        <v>220</v>
      </c>
      <c r="F718" s="676" t="s">
        <v>63</v>
      </c>
      <c r="G718" s="677" t="s">
        <v>44</v>
      </c>
      <c r="H718" s="677" t="s">
        <v>36</v>
      </c>
      <c r="I718" s="678" t="s">
        <v>89</v>
      </c>
      <c r="J718" s="15" t="s">
        <v>49</v>
      </c>
      <c r="K718" s="29">
        <v>4032.7</v>
      </c>
      <c r="L718" s="29">
        <f>M718-K718</f>
        <v>0</v>
      </c>
      <c r="M718" s="29">
        <v>4032.7</v>
      </c>
    </row>
    <row r="719" spans="1:13" s="12" customFormat="1" ht="54" customHeight="1" x14ac:dyDescent="0.35">
      <c r="A719" s="16"/>
      <c r="B719" s="497" t="s">
        <v>53</v>
      </c>
      <c r="C719" s="28" t="s">
        <v>282</v>
      </c>
      <c r="D719" s="15" t="s">
        <v>220</v>
      </c>
      <c r="E719" s="15" t="s">
        <v>220</v>
      </c>
      <c r="F719" s="676" t="s">
        <v>63</v>
      </c>
      <c r="G719" s="677" t="s">
        <v>44</v>
      </c>
      <c r="H719" s="677" t="s">
        <v>36</v>
      </c>
      <c r="I719" s="678" t="s">
        <v>89</v>
      </c>
      <c r="J719" s="15" t="s">
        <v>54</v>
      </c>
      <c r="K719" s="29">
        <v>371.5</v>
      </c>
      <c r="L719" s="29">
        <f>M719-K719</f>
        <v>0</v>
      </c>
      <c r="M719" s="29">
        <v>371.5</v>
      </c>
    </row>
    <row r="720" spans="1:13" s="12" customFormat="1" ht="18" customHeight="1" x14ac:dyDescent="0.35">
      <c r="A720" s="16"/>
      <c r="B720" s="497" t="s">
        <v>55</v>
      </c>
      <c r="C720" s="28" t="s">
        <v>282</v>
      </c>
      <c r="D720" s="15" t="s">
        <v>220</v>
      </c>
      <c r="E720" s="15" t="s">
        <v>220</v>
      </c>
      <c r="F720" s="676" t="s">
        <v>63</v>
      </c>
      <c r="G720" s="677" t="s">
        <v>44</v>
      </c>
      <c r="H720" s="677" t="s">
        <v>36</v>
      </c>
      <c r="I720" s="678" t="s">
        <v>89</v>
      </c>
      <c r="J720" s="15" t="s">
        <v>56</v>
      </c>
      <c r="K720" s="29">
        <v>2.7</v>
      </c>
      <c r="L720" s="29">
        <f>M720-K720</f>
        <v>0</v>
      </c>
      <c r="M720" s="29">
        <v>2.7</v>
      </c>
    </row>
    <row r="721" spans="1:14" s="12" customFormat="1" ht="36" customHeight="1" x14ac:dyDescent="0.35">
      <c r="A721" s="16"/>
      <c r="B721" s="497" t="s">
        <v>284</v>
      </c>
      <c r="C721" s="28" t="s">
        <v>282</v>
      </c>
      <c r="D721" s="15" t="s">
        <v>220</v>
      </c>
      <c r="E721" s="15" t="s">
        <v>220</v>
      </c>
      <c r="F721" s="676" t="s">
        <v>63</v>
      </c>
      <c r="G721" s="677" t="s">
        <v>44</v>
      </c>
      <c r="H721" s="677" t="s">
        <v>36</v>
      </c>
      <c r="I721" s="678" t="s">
        <v>285</v>
      </c>
      <c r="J721" s="15"/>
      <c r="K721" s="29">
        <f>K722</f>
        <v>1905.4999999999998</v>
      </c>
      <c r="L721" s="29">
        <f t="shared" ref="L721" si="247">L722</f>
        <v>102.20000000000005</v>
      </c>
      <c r="M721" s="29">
        <f>M722</f>
        <v>2007.6999999999998</v>
      </c>
    </row>
    <row r="722" spans="1:14" s="12" customFormat="1" ht="54" customHeight="1" x14ac:dyDescent="0.35">
      <c r="A722" s="16"/>
      <c r="B722" s="497" t="s">
        <v>53</v>
      </c>
      <c r="C722" s="28" t="s">
        <v>282</v>
      </c>
      <c r="D722" s="15" t="s">
        <v>220</v>
      </c>
      <c r="E722" s="15" t="s">
        <v>220</v>
      </c>
      <c r="F722" s="676" t="s">
        <v>63</v>
      </c>
      <c r="G722" s="677" t="s">
        <v>44</v>
      </c>
      <c r="H722" s="677" t="s">
        <v>36</v>
      </c>
      <c r="I722" s="678" t="s">
        <v>285</v>
      </c>
      <c r="J722" s="15" t="s">
        <v>54</v>
      </c>
      <c r="K722" s="29">
        <f>955.5+280.6+327.8+190.6+151</f>
        <v>1905.4999999999998</v>
      </c>
      <c r="L722" s="29">
        <f>M722-K722</f>
        <v>102.20000000000005</v>
      </c>
      <c r="M722" s="29">
        <f>955.5+280.6+327.8+190.6+151+102.2</f>
        <v>2007.6999999999998</v>
      </c>
    </row>
    <row r="723" spans="1:14" s="12" customFormat="1" ht="18" customHeight="1" x14ac:dyDescent="0.35">
      <c r="A723" s="16"/>
      <c r="B723" s="497" t="s">
        <v>183</v>
      </c>
      <c r="C723" s="148" t="s">
        <v>282</v>
      </c>
      <c r="D723" s="15" t="s">
        <v>220</v>
      </c>
      <c r="E723" s="15" t="s">
        <v>77</v>
      </c>
      <c r="F723" s="676"/>
      <c r="G723" s="677"/>
      <c r="H723" s="677"/>
      <c r="I723" s="678"/>
      <c r="J723" s="15"/>
      <c r="K723" s="29">
        <f t="shared" ref="K723:M726" si="248">K724</f>
        <v>3680.1</v>
      </c>
      <c r="L723" s="29">
        <f t="shared" si="248"/>
        <v>0</v>
      </c>
      <c r="M723" s="29">
        <f t="shared" si="248"/>
        <v>3680.1</v>
      </c>
      <c r="N723" s="157"/>
    </row>
    <row r="724" spans="1:14" s="12" customFormat="1" ht="54" customHeight="1" x14ac:dyDescent="0.35">
      <c r="A724" s="16"/>
      <c r="B724" s="497" t="s">
        <v>217</v>
      </c>
      <c r="C724" s="148" t="s">
        <v>282</v>
      </c>
      <c r="D724" s="15" t="s">
        <v>220</v>
      </c>
      <c r="E724" s="15" t="s">
        <v>77</v>
      </c>
      <c r="F724" s="676" t="s">
        <v>63</v>
      </c>
      <c r="G724" s="677" t="s">
        <v>41</v>
      </c>
      <c r="H724" s="677" t="s">
        <v>42</v>
      </c>
      <c r="I724" s="678" t="s">
        <v>43</v>
      </c>
      <c r="J724" s="15"/>
      <c r="K724" s="29">
        <f t="shared" si="248"/>
        <v>3680.1</v>
      </c>
      <c r="L724" s="29">
        <f t="shared" si="248"/>
        <v>0</v>
      </c>
      <c r="M724" s="29">
        <f t="shared" si="248"/>
        <v>3680.1</v>
      </c>
      <c r="N724" s="157"/>
    </row>
    <row r="725" spans="1:14" s="12" customFormat="1" ht="36" customHeight="1" x14ac:dyDescent="0.35">
      <c r="A725" s="16"/>
      <c r="B725" s="497" t="s">
        <v>216</v>
      </c>
      <c r="C725" s="28" t="s">
        <v>282</v>
      </c>
      <c r="D725" s="15" t="s">
        <v>220</v>
      </c>
      <c r="E725" s="15" t="s">
        <v>77</v>
      </c>
      <c r="F725" s="676" t="s">
        <v>63</v>
      </c>
      <c r="G725" s="677" t="s">
        <v>87</v>
      </c>
      <c r="H725" s="677" t="s">
        <v>42</v>
      </c>
      <c r="I725" s="678" t="s">
        <v>43</v>
      </c>
      <c r="J725" s="15"/>
      <c r="K725" s="29">
        <f t="shared" si="248"/>
        <v>3680.1</v>
      </c>
      <c r="L725" s="29">
        <f t="shared" si="248"/>
        <v>0</v>
      </c>
      <c r="M725" s="29">
        <f t="shared" si="248"/>
        <v>3680.1</v>
      </c>
    </row>
    <row r="726" spans="1:14" s="116" customFormat="1" ht="36" customHeight="1" x14ac:dyDescent="0.35">
      <c r="A726" s="16"/>
      <c r="B726" s="497" t="s">
        <v>278</v>
      </c>
      <c r="C726" s="28" t="s">
        <v>282</v>
      </c>
      <c r="D726" s="15" t="s">
        <v>220</v>
      </c>
      <c r="E726" s="15" t="s">
        <v>77</v>
      </c>
      <c r="F726" s="676" t="s">
        <v>63</v>
      </c>
      <c r="G726" s="677" t="s">
        <v>87</v>
      </c>
      <c r="H726" s="677" t="s">
        <v>36</v>
      </c>
      <c r="I726" s="678" t="s">
        <v>43</v>
      </c>
      <c r="J726" s="15"/>
      <c r="K726" s="29">
        <f>K727</f>
        <v>3680.1</v>
      </c>
      <c r="L726" s="29">
        <f t="shared" si="248"/>
        <v>0</v>
      </c>
      <c r="M726" s="29">
        <f>M727</f>
        <v>3680.1</v>
      </c>
    </row>
    <row r="727" spans="1:14" s="12" customFormat="1" ht="36" customHeight="1" x14ac:dyDescent="0.35">
      <c r="A727" s="16"/>
      <c r="B727" s="497" t="s">
        <v>46</v>
      </c>
      <c r="C727" s="28" t="s">
        <v>282</v>
      </c>
      <c r="D727" s="15" t="s">
        <v>220</v>
      </c>
      <c r="E727" s="15" t="s">
        <v>77</v>
      </c>
      <c r="F727" s="676" t="s">
        <v>63</v>
      </c>
      <c r="G727" s="677" t="s">
        <v>87</v>
      </c>
      <c r="H727" s="677" t="s">
        <v>36</v>
      </c>
      <c r="I727" s="678" t="s">
        <v>47</v>
      </c>
      <c r="J727" s="15"/>
      <c r="K727" s="29">
        <f>K728+K729+K730</f>
        <v>3680.1</v>
      </c>
      <c r="L727" s="29">
        <f t="shared" ref="L727" si="249">L728+L729+L730</f>
        <v>0</v>
      </c>
      <c r="M727" s="29">
        <f>M728+M729+M730</f>
        <v>3680.1</v>
      </c>
    </row>
    <row r="728" spans="1:14" s="12" customFormat="1" ht="108" customHeight="1" x14ac:dyDescent="0.35">
      <c r="A728" s="16"/>
      <c r="B728" s="497" t="s">
        <v>48</v>
      </c>
      <c r="C728" s="28" t="s">
        <v>282</v>
      </c>
      <c r="D728" s="15" t="s">
        <v>220</v>
      </c>
      <c r="E728" s="15" t="s">
        <v>77</v>
      </c>
      <c r="F728" s="676" t="s">
        <v>63</v>
      </c>
      <c r="G728" s="677" t="s">
        <v>87</v>
      </c>
      <c r="H728" s="677" t="s">
        <v>36</v>
      </c>
      <c r="I728" s="678" t="s">
        <v>47</v>
      </c>
      <c r="J728" s="15" t="s">
        <v>49</v>
      </c>
      <c r="K728" s="29">
        <f>3294.3+21.7</f>
        <v>3316</v>
      </c>
      <c r="L728" s="29">
        <f>M728-K728</f>
        <v>0</v>
      </c>
      <c r="M728" s="29">
        <f>3294.3+21.7</f>
        <v>3316</v>
      </c>
      <c r="N728" s="157"/>
    </row>
    <row r="729" spans="1:14" s="12" customFormat="1" ht="54" customHeight="1" x14ac:dyDescent="0.35">
      <c r="A729" s="16"/>
      <c r="B729" s="497" t="s">
        <v>53</v>
      </c>
      <c r="C729" s="148" t="s">
        <v>282</v>
      </c>
      <c r="D729" s="95" t="s">
        <v>220</v>
      </c>
      <c r="E729" s="95" t="s">
        <v>77</v>
      </c>
      <c r="F729" s="676" t="s">
        <v>63</v>
      </c>
      <c r="G729" s="677" t="s">
        <v>87</v>
      </c>
      <c r="H729" s="677" t="s">
        <v>36</v>
      </c>
      <c r="I729" s="678" t="s">
        <v>47</v>
      </c>
      <c r="J729" s="15" t="s">
        <v>54</v>
      </c>
      <c r="K729" s="29">
        <v>362.9</v>
      </c>
      <c r="L729" s="29">
        <f>M729-K729</f>
        <v>0</v>
      </c>
      <c r="M729" s="29">
        <v>362.9</v>
      </c>
    </row>
    <row r="730" spans="1:14" s="12" customFormat="1" ht="18" customHeight="1" x14ac:dyDescent="0.35">
      <c r="A730" s="16"/>
      <c r="B730" s="497" t="s">
        <v>55</v>
      </c>
      <c r="C730" s="148" t="s">
        <v>282</v>
      </c>
      <c r="D730" s="95" t="s">
        <v>220</v>
      </c>
      <c r="E730" s="95" t="s">
        <v>77</v>
      </c>
      <c r="F730" s="676" t="s">
        <v>63</v>
      </c>
      <c r="G730" s="677" t="s">
        <v>87</v>
      </c>
      <c r="H730" s="677" t="s">
        <v>36</v>
      </c>
      <c r="I730" s="678" t="s">
        <v>47</v>
      </c>
      <c r="J730" s="15" t="s">
        <v>56</v>
      </c>
      <c r="K730" s="29">
        <v>1.2</v>
      </c>
      <c r="L730" s="29">
        <f>M730-K730</f>
        <v>0</v>
      </c>
      <c r="M730" s="29">
        <v>1.2</v>
      </c>
      <c r="N730" s="157"/>
    </row>
    <row r="731" spans="1:14" s="12" customFormat="1" ht="18" customHeight="1" x14ac:dyDescent="0.35">
      <c r="A731" s="16"/>
      <c r="B731" s="497"/>
      <c r="C731" s="148"/>
      <c r="D731" s="95"/>
      <c r="E731" s="95"/>
      <c r="F731" s="676"/>
      <c r="G731" s="677"/>
      <c r="H731" s="677"/>
      <c r="I731" s="678"/>
      <c r="J731" s="15"/>
      <c r="K731" s="29"/>
      <c r="L731" s="29"/>
      <c r="M731" s="29"/>
      <c r="N731" s="157"/>
    </row>
    <row r="732" spans="1:14" s="116" customFormat="1" ht="52.2" customHeight="1" x14ac:dyDescent="0.3">
      <c r="A732" s="115">
        <v>9</v>
      </c>
      <c r="B732" s="543" t="s">
        <v>12</v>
      </c>
      <c r="C732" s="23" t="s">
        <v>290</v>
      </c>
      <c r="D732" s="24"/>
      <c r="E732" s="24"/>
      <c r="F732" s="25"/>
      <c r="G732" s="26"/>
      <c r="H732" s="26"/>
      <c r="I732" s="27"/>
      <c r="J732" s="24"/>
      <c r="K732" s="37">
        <f>K733</f>
        <v>73563.199999999997</v>
      </c>
      <c r="L732" s="37">
        <f t="shared" ref="L732" si="250">L733</f>
        <v>142.9</v>
      </c>
      <c r="M732" s="37">
        <f>M733</f>
        <v>73706.099999999991</v>
      </c>
    </row>
    <row r="733" spans="1:14" s="12" customFormat="1" ht="18" customHeight="1" x14ac:dyDescent="0.35">
      <c r="A733" s="16"/>
      <c r="B733" s="546" t="s">
        <v>117</v>
      </c>
      <c r="C733" s="28" t="s">
        <v>290</v>
      </c>
      <c r="D733" s="15" t="s">
        <v>102</v>
      </c>
      <c r="E733" s="15"/>
      <c r="F733" s="676"/>
      <c r="G733" s="677"/>
      <c r="H733" s="677"/>
      <c r="I733" s="678"/>
      <c r="J733" s="15"/>
      <c r="K733" s="29">
        <f>K734+K752</f>
        <v>73563.199999999997</v>
      </c>
      <c r="L733" s="29">
        <f t="shared" ref="L733" si="251">L734+L752</f>
        <v>142.9</v>
      </c>
      <c r="M733" s="29">
        <f>M734+M752</f>
        <v>73706.099999999991</v>
      </c>
    </row>
    <row r="734" spans="1:14" s="12" customFormat="1" ht="18" customHeight="1" x14ac:dyDescent="0.35">
      <c r="A734" s="16"/>
      <c r="B734" s="497" t="s">
        <v>190</v>
      </c>
      <c r="C734" s="28" t="s">
        <v>290</v>
      </c>
      <c r="D734" s="15" t="s">
        <v>102</v>
      </c>
      <c r="E734" s="15" t="s">
        <v>50</v>
      </c>
      <c r="F734" s="676"/>
      <c r="G734" s="677"/>
      <c r="H734" s="677"/>
      <c r="I734" s="678"/>
      <c r="J734" s="15"/>
      <c r="K734" s="29">
        <f t="shared" ref="K734:M736" si="252">K735</f>
        <v>64549.899999999994</v>
      </c>
      <c r="L734" s="29">
        <f t="shared" si="252"/>
        <v>142.9</v>
      </c>
      <c r="M734" s="29">
        <f t="shared" si="252"/>
        <v>64692.799999999996</v>
      </c>
    </row>
    <row r="735" spans="1:14" s="12" customFormat="1" ht="54" customHeight="1" x14ac:dyDescent="0.35">
      <c r="A735" s="16"/>
      <c r="B735" s="504" t="s">
        <v>226</v>
      </c>
      <c r="C735" s="28" t="s">
        <v>290</v>
      </c>
      <c r="D735" s="15" t="s">
        <v>102</v>
      </c>
      <c r="E735" s="15" t="s">
        <v>50</v>
      </c>
      <c r="F735" s="676" t="s">
        <v>77</v>
      </c>
      <c r="G735" s="677" t="s">
        <v>41</v>
      </c>
      <c r="H735" s="677" t="s">
        <v>42</v>
      </c>
      <c r="I735" s="678" t="s">
        <v>43</v>
      </c>
      <c r="J735" s="15"/>
      <c r="K735" s="29">
        <f t="shared" si="252"/>
        <v>64549.899999999994</v>
      </c>
      <c r="L735" s="29">
        <f t="shared" si="252"/>
        <v>142.9</v>
      </c>
      <c r="M735" s="29">
        <f t="shared" si="252"/>
        <v>64692.799999999996</v>
      </c>
    </row>
    <row r="736" spans="1:14" s="12" customFormat="1" ht="36" customHeight="1" x14ac:dyDescent="0.35">
      <c r="A736" s="16"/>
      <c r="B736" s="497" t="s">
        <v>335</v>
      </c>
      <c r="C736" s="28" t="s">
        <v>290</v>
      </c>
      <c r="D736" s="15" t="s">
        <v>102</v>
      </c>
      <c r="E736" s="15" t="s">
        <v>50</v>
      </c>
      <c r="F736" s="676" t="s">
        <v>77</v>
      </c>
      <c r="G736" s="677" t="s">
        <v>44</v>
      </c>
      <c r="H736" s="677" t="s">
        <v>42</v>
      </c>
      <c r="I736" s="678" t="s">
        <v>43</v>
      </c>
      <c r="J736" s="15"/>
      <c r="K736" s="29">
        <f>K737</f>
        <v>64549.899999999994</v>
      </c>
      <c r="L736" s="29">
        <f t="shared" si="252"/>
        <v>142.9</v>
      </c>
      <c r="M736" s="29">
        <f>M737</f>
        <v>64692.799999999996</v>
      </c>
    </row>
    <row r="737" spans="1:13" s="116" customFormat="1" ht="36" customHeight="1" x14ac:dyDescent="0.35">
      <c r="A737" s="16"/>
      <c r="B737" s="497" t="s">
        <v>281</v>
      </c>
      <c r="C737" s="28" t="s">
        <v>290</v>
      </c>
      <c r="D737" s="15" t="s">
        <v>102</v>
      </c>
      <c r="E737" s="15" t="s">
        <v>50</v>
      </c>
      <c r="F737" s="676" t="s">
        <v>77</v>
      </c>
      <c r="G737" s="677" t="s">
        <v>44</v>
      </c>
      <c r="H737" s="677" t="s">
        <v>36</v>
      </c>
      <c r="I737" s="678" t="s">
        <v>43</v>
      </c>
      <c r="J737" s="15"/>
      <c r="K737" s="29">
        <f>K738+K741+K746+K749</f>
        <v>64549.899999999994</v>
      </c>
      <c r="L737" s="29">
        <f>L738+L741+L746+L749+L744</f>
        <v>142.9</v>
      </c>
      <c r="M737" s="29">
        <f>M738+M741+M746+M749+M744</f>
        <v>64692.799999999996</v>
      </c>
    </row>
    <row r="738" spans="1:13" s="116" customFormat="1" ht="158.25" customHeight="1" x14ac:dyDescent="0.35">
      <c r="A738" s="16"/>
      <c r="B738" s="570" t="s">
        <v>353</v>
      </c>
      <c r="C738" s="28" t="s">
        <v>290</v>
      </c>
      <c r="D738" s="15" t="s">
        <v>102</v>
      </c>
      <c r="E738" s="15" t="s">
        <v>50</v>
      </c>
      <c r="F738" s="676" t="s">
        <v>77</v>
      </c>
      <c r="G738" s="677" t="s">
        <v>44</v>
      </c>
      <c r="H738" s="677" t="s">
        <v>36</v>
      </c>
      <c r="I738" s="678" t="s">
        <v>500</v>
      </c>
      <c r="J738" s="15"/>
      <c r="K738" s="29">
        <f>SUM(K739:K740)</f>
        <v>37320.199999999997</v>
      </c>
      <c r="L738" s="29">
        <f t="shared" ref="L738" si="253">SUM(L739:L740)</f>
        <v>0</v>
      </c>
      <c r="M738" s="29">
        <f>SUM(M739:M740)</f>
        <v>37320.199999999997</v>
      </c>
    </row>
    <row r="739" spans="1:13" s="116" customFormat="1" ht="54" customHeight="1" x14ac:dyDescent="0.35">
      <c r="A739" s="16"/>
      <c r="B739" s="497" t="s">
        <v>53</v>
      </c>
      <c r="C739" s="28" t="s">
        <v>290</v>
      </c>
      <c r="D739" s="15" t="s">
        <v>102</v>
      </c>
      <c r="E739" s="15" t="s">
        <v>50</v>
      </c>
      <c r="F739" s="676" t="s">
        <v>77</v>
      </c>
      <c r="G739" s="677" t="s">
        <v>44</v>
      </c>
      <c r="H739" s="677" t="s">
        <v>36</v>
      </c>
      <c r="I739" s="678" t="s">
        <v>500</v>
      </c>
      <c r="J739" s="15" t="s">
        <v>54</v>
      </c>
      <c r="K739" s="29">
        <v>185.7</v>
      </c>
      <c r="L739" s="29">
        <f>M739-K739</f>
        <v>0</v>
      </c>
      <c r="M739" s="29">
        <v>185.7</v>
      </c>
    </row>
    <row r="740" spans="1:13" s="116" customFormat="1" ht="36" customHeight="1" x14ac:dyDescent="0.35">
      <c r="A740" s="16"/>
      <c r="B740" s="497" t="s">
        <v>118</v>
      </c>
      <c r="C740" s="28" t="s">
        <v>290</v>
      </c>
      <c r="D740" s="15" t="s">
        <v>102</v>
      </c>
      <c r="E740" s="15" t="s">
        <v>50</v>
      </c>
      <c r="F740" s="676" t="s">
        <v>77</v>
      </c>
      <c r="G740" s="677" t="s">
        <v>44</v>
      </c>
      <c r="H740" s="677" t="s">
        <v>36</v>
      </c>
      <c r="I740" s="678" t="s">
        <v>500</v>
      </c>
      <c r="J740" s="15" t="s">
        <v>119</v>
      </c>
      <c r="K740" s="29">
        <v>37134.5</v>
      </c>
      <c r="L740" s="29">
        <f>M740-K740</f>
        <v>0</v>
      </c>
      <c r="M740" s="29">
        <v>37134.5</v>
      </c>
    </row>
    <row r="741" spans="1:13" s="116" customFormat="1" ht="90" customHeight="1" x14ac:dyDescent="0.35">
      <c r="A741" s="16"/>
      <c r="B741" s="497" t="s">
        <v>355</v>
      </c>
      <c r="C741" s="28" t="s">
        <v>290</v>
      </c>
      <c r="D741" s="15" t="s">
        <v>102</v>
      </c>
      <c r="E741" s="15" t="s">
        <v>50</v>
      </c>
      <c r="F741" s="676" t="s">
        <v>77</v>
      </c>
      <c r="G741" s="677" t="s">
        <v>44</v>
      </c>
      <c r="H741" s="677" t="s">
        <v>36</v>
      </c>
      <c r="I741" s="678" t="s">
        <v>502</v>
      </c>
      <c r="J741" s="15"/>
      <c r="K741" s="29">
        <f>SUM(K742:K743)</f>
        <v>188.70000000000002</v>
      </c>
      <c r="L741" s="29">
        <f t="shared" ref="L741" si="254">SUM(L742:L743)</f>
        <v>0</v>
      </c>
      <c r="M741" s="29">
        <f>SUM(M742:M743)</f>
        <v>188.70000000000002</v>
      </c>
    </row>
    <row r="742" spans="1:13" s="116" customFormat="1" ht="54" customHeight="1" x14ac:dyDescent="0.35">
      <c r="A742" s="16"/>
      <c r="B742" s="497" t="s">
        <v>53</v>
      </c>
      <c r="C742" s="28" t="s">
        <v>290</v>
      </c>
      <c r="D742" s="15" t="s">
        <v>102</v>
      </c>
      <c r="E742" s="15" t="s">
        <v>50</v>
      </c>
      <c r="F742" s="676" t="s">
        <v>77</v>
      </c>
      <c r="G742" s="677" t="s">
        <v>44</v>
      </c>
      <c r="H742" s="677" t="s">
        <v>36</v>
      </c>
      <c r="I742" s="678" t="s">
        <v>502</v>
      </c>
      <c r="J742" s="15" t="s">
        <v>54</v>
      </c>
      <c r="K742" s="29">
        <v>0.9</v>
      </c>
      <c r="L742" s="29">
        <f>M742-K742</f>
        <v>0</v>
      </c>
      <c r="M742" s="29">
        <v>0.9</v>
      </c>
    </row>
    <row r="743" spans="1:13" s="116" customFormat="1" ht="36" customHeight="1" x14ac:dyDescent="0.35">
      <c r="A743" s="16"/>
      <c r="B743" s="497" t="s">
        <v>118</v>
      </c>
      <c r="C743" s="28" t="s">
        <v>290</v>
      </c>
      <c r="D743" s="15" t="s">
        <v>102</v>
      </c>
      <c r="E743" s="15" t="s">
        <v>50</v>
      </c>
      <c r="F743" s="676" t="s">
        <v>77</v>
      </c>
      <c r="G743" s="677" t="s">
        <v>44</v>
      </c>
      <c r="H743" s="677" t="s">
        <v>36</v>
      </c>
      <c r="I743" s="678" t="s">
        <v>502</v>
      </c>
      <c r="J743" s="15" t="s">
        <v>119</v>
      </c>
      <c r="K743" s="29">
        <v>187.8</v>
      </c>
      <c r="L743" s="29">
        <f>M743-K743</f>
        <v>0</v>
      </c>
      <c r="M743" s="29">
        <v>187.8</v>
      </c>
    </row>
    <row r="744" spans="1:13" s="116" customFormat="1" ht="144" x14ac:dyDescent="0.35">
      <c r="A744" s="16"/>
      <c r="B744" s="497" t="s">
        <v>671</v>
      </c>
      <c r="C744" s="28" t="s">
        <v>290</v>
      </c>
      <c r="D744" s="15" t="s">
        <v>102</v>
      </c>
      <c r="E744" s="15" t="s">
        <v>50</v>
      </c>
      <c r="F744" s="676" t="s">
        <v>77</v>
      </c>
      <c r="G744" s="677" t="s">
        <v>44</v>
      </c>
      <c r="H744" s="677" t="s">
        <v>36</v>
      </c>
      <c r="I744" s="678" t="s">
        <v>670</v>
      </c>
      <c r="J744" s="15"/>
      <c r="K744" s="29"/>
      <c r="L744" s="29">
        <f>L745</f>
        <v>142.9</v>
      </c>
      <c r="M744" s="29">
        <f>M745</f>
        <v>142.9</v>
      </c>
    </row>
    <row r="745" spans="1:13" s="116" customFormat="1" ht="36" customHeight="1" x14ac:dyDescent="0.35">
      <c r="A745" s="16"/>
      <c r="B745" s="497" t="s">
        <v>118</v>
      </c>
      <c r="C745" s="28" t="s">
        <v>290</v>
      </c>
      <c r="D745" s="15" t="s">
        <v>102</v>
      </c>
      <c r="E745" s="15" t="s">
        <v>50</v>
      </c>
      <c r="F745" s="676" t="s">
        <v>77</v>
      </c>
      <c r="G745" s="677" t="s">
        <v>44</v>
      </c>
      <c r="H745" s="677" t="s">
        <v>36</v>
      </c>
      <c r="I745" s="678" t="s">
        <v>670</v>
      </c>
      <c r="J745" s="15" t="s">
        <v>119</v>
      </c>
      <c r="K745" s="29"/>
      <c r="L745" s="29">
        <f>M745-K745</f>
        <v>142.9</v>
      </c>
      <c r="M745" s="29">
        <v>142.9</v>
      </c>
    </row>
    <row r="746" spans="1:13" s="116" customFormat="1" ht="90" customHeight="1" x14ac:dyDescent="0.35">
      <c r="A746" s="16"/>
      <c r="B746" s="497" t="s">
        <v>354</v>
      </c>
      <c r="C746" s="28" t="s">
        <v>290</v>
      </c>
      <c r="D746" s="15" t="s">
        <v>102</v>
      </c>
      <c r="E746" s="15" t="s">
        <v>50</v>
      </c>
      <c r="F746" s="676" t="s">
        <v>77</v>
      </c>
      <c r="G746" s="677" t="s">
        <v>44</v>
      </c>
      <c r="H746" s="677" t="s">
        <v>36</v>
      </c>
      <c r="I746" s="678" t="s">
        <v>501</v>
      </c>
      <c r="J746" s="15"/>
      <c r="K746" s="29">
        <f>SUM(K747:K748)</f>
        <v>26856.5</v>
      </c>
      <c r="L746" s="29">
        <f t="shared" ref="L746" si="255">SUM(L747:L748)</f>
        <v>0</v>
      </c>
      <c r="M746" s="29">
        <f>SUM(M747:M748)</f>
        <v>26856.5</v>
      </c>
    </row>
    <row r="747" spans="1:13" s="116" customFormat="1" ht="54" customHeight="1" x14ac:dyDescent="0.35">
      <c r="A747" s="16"/>
      <c r="B747" s="497" t="s">
        <v>53</v>
      </c>
      <c r="C747" s="28" t="s">
        <v>290</v>
      </c>
      <c r="D747" s="15" t="s">
        <v>102</v>
      </c>
      <c r="E747" s="15" t="s">
        <v>50</v>
      </c>
      <c r="F747" s="676" t="s">
        <v>77</v>
      </c>
      <c r="G747" s="677" t="s">
        <v>44</v>
      </c>
      <c r="H747" s="677" t="s">
        <v>36</v>
      </c>
      <c r="I747" s="678" t="s">
        <v>501</v>
      </c>
      <c r="J747" s="15" t="s">
        <v>54</v>
      </c>
      <c r="K747" s="29">
        <v>134.30000000000001</v>
      </c>
      <c r="L747" s="29">
        <f>M747-K747</f>
        <v>0</v>
      </c>
      <c r="M747" s="29">
        <v>134.30000000000001</v>
      </c>
    </row>
    <row r="748" spans="1:13" s="116" customFormat="1" ht="36" customHeight="1" x14ac:dyDescent="0.35">
      <c r="A748" s="16"/>
      <c r="B748" s="497" t="s">
        <v>118</v>
      </c>
      <c r="C748" s="28" t="s">
        <v>290</v>
      </c>
      <c r="D748" s="15" t="s">
        <v>102</v>
      </c>
      <c r="E748" s="15" t="s">
        <v>50</v>
      </c>
      <c r="F748" s="676" t="s">
        <v>77</v>
      </c>
      <c r="G748" s="677" t="s">
        <v>44</v>
      </c>
      <c r="H748" s="677" t="s">
        <v>36</v>
      </c>
      <c r="I748" s="678" t="s">
        <v>501</v>
      </c>
      <c r="J748" s="15" t="s">
        <v>119</v>
      </c>
      <c r="K748" s="29">
        <v>26722.2</v>
      </c>
      <c r="L748" s="29">
        <f>M748-K748</f>
        <v>0</v>
      </c>
      <c r="M748" s="29">
        <v>26722.2</v>
      </c>
    </row>
    <row r="749" spans="1:13" s="116" customFormat="1" ht="108" customHeight="1" x14ac:dyDescent="0.35">
      <c r="A749" s="16"/>
      <c r="B749" s="497" t="s">
        <v>361</v>
      </c>
      <c r="C749" s="28" t="s">
        <v>290</v>
      </c>
      <c r="D749" s="15" t="s">
        <v>102</v>
      </c>
      <c r="E749" s="15" t="s">
        <v>50</v>
      </c>
      <c r="F749" s="676" t="s">
        <v>77</v>
      </c>
      <c r="G749" s="677" t="s">
        <v>44</v>
      </c>
      <c r="H749" s="677" t="s">
        <v>36</v>
      </c>
      <c r="I749" s="678" t="s">
        <v>503</v>
      </c>
      <c r="J749" s="15"/>
      <c r="K749" s="29">
        <f>SUM(K750:K751)</f>
        <v>184.5</v>
      </c>
      <c r="L749" s="29">
        <f t="shared" ref="L749" si="256">SUM(L750:L751)</f>
        <v>0</v>
      </c>
      <c r="M749" s="29">
        <f>SUM(M750:M751)</f>
        <v>184.5</v>
      </c>
    </row>
    <row r="750" spans="1:13" s="116" customFormat="1" ht="54" customHeight="1" x14ac:dyDescent="0.35">
      <c r="A750" s="16"/>
      <c r="B750" s="497" t="s">
        <v>53</v>
      </c>
      <c r="C750" s="28" t="s">
        <v>290</v>
      </c>
      <c r="D750" s="15" t="s">
        <v>102</v>
      </c>
      <c r="E750" s="15" t="s">
        <v>50</v>
      </c>
      <c r="F750" s="676" t="s">
        <v>77</v>
      </c>
      <c r="G750" s="677" t="s">
        <v>44</v>
      </c>
      <c r="H750" s="677" t="s">
        <v>36</v>
      </c>
      <c r="I750" s="678" t="s">
        <v>503</v>
      </c>
      <c r="J750" s="15" t="s">
        <v>54</v>
      </c>
      <c r="K750" s="29">
        <v>0.9</v>
      </c>
      <c r="L750" s="29">
        <f>M750-K750</f>
        <v>0</v>
      </c>
      <c r="M750" s="29">
        <v>0.9</v>
      </c>
    </row>
    <row r="751" spans="1:13" s="116" customFormat="1" ht="36" customHeight="1" x14ac:dyDescent="0.35">
      <c r="A751" s="16"/>
      <c r="B751" s="497" t="s">
        <v>118</v>
      </c>
      <c r="C751" s="28" t="s">
        <v>290</v>
      </c>
      <c r="D751" s="15" t="s">
        <v>102</v>
      </c>
      <c r="E751" s="15" t="s">
        <v>50</v>
      </c>
      <c r="F751" s="676" t="s">
        <v>77</v>
      </c>
      <c r="G751" s="677" t="s">
        <v>44</v>
      </c>
      <c r="H751" s="677" t="s">
        <v>36</v>
      </c>
      <c r="I751" s="678" t="s">
        <v>503</v>
      </c>
      <c r="J751" s="15" t="s">
        <v>119</v>
      </c>
      <c r="K751" s="29">
        <v>183.6</v>
      </c>
      <c r="L751" s="29">
        <f>M751-K751</f>
        <v>0</v>
      </c>
      <c r="M751" s="29">
        <v>183.6</v>
      </c>
    </row>
    <row r="752" spans="1:13" s="12" customFormat="1" ht="36" customHeight="1" x14ac:dyDescent="0.35">
      <c r="A752" s="16"/>
      <c r="B752" s="497" t="s">
        <v>292</v>
      </c>
      <c r="C752" s="28" t="s">
        <v>290</v>
      </c>
      <c r="D752" s="15" t="s">
        <v>102</v>
      </c>
      <c r="E752" s="15" t="s">
        <v>79</v>
      </c>
      <c r="F752" s="676"/>
      <c r="G752" s="677"/>
      <c r="H752" s="677"/>
      <c r="I752" s="678"/>
      <c r="J752" s="15"/>
      <c r="K752" s="29">
        <f>K753</f>
        <v>9013.2999999999993</v>
      </c>
      <c r="L752" s="29">
        <f t="shared" ref="L752" si="257">L753</f>
        <v>0</v>
      </c>
      <c r="M752" s="29">
        <f>M753</f>
        <v>9013.2999999999993</v>
      </c>
    </row>
    <row r="753" spans="1:13" s="12" customFormat="1" ht="54" customHeight="1" x14ac:dyDescent="0.35">
      <c r="A753" s="16"/>
      <c r="B753" s="504" t="s">
        <v>226</v>
      </c>
      <c r="C753" s="28" t="s">
        <v>290</v>
      </c>
      <c r="D753" s="15" t="s">
        <v>102</v>
      </c>
      <c r="E753" s="15" t="s">
        <v>79</v>
      </c>
      <c r="F753" s="676" t="s">
        <v>77</v>
      </c>
      <c r="G753" s="677" t="s">
        <v>41</v>
      </c>
      <c r="H753" s="677" t="s">
        <v>42</v>
      </c>
      <c r="I753" s="678" t="s">
        <v>43</v>
      </c>
      <c r="J753" s="15"/>
      <c r="K753" s="29">
        <f t="shared" ref="K753:M754" si="258">K754</f>
        <v>9013.2999999999993</v>
      </c>
      <c r="L753" s="29">
        <f t="shared" si="258"/>
        <v>0</v>
      </c>
      <c r="M753" s="29">
        <f t="shared" si="258"/>
        <v>9013.2999999999993</v>
      </c>
    </row>
    <row r="754" spans="1:13" s="12" customFormat="1" ht="36" customHeight="1" x14ac:dyDescent="0.35">
      <c r="A754" s="16"/>
      <c r="B754" s="497" t="s">
        <v>335</v>
      </c>
      <c r="C754" s="28" t="s">
        <v>290</v>
      </c>
      <c r="D754" s="15" t="s">
        <v>102</v>
      </c>
      <c r="E754" s="15" t="s">
        <v>79</v>
      </c>
      <c r="F754" s="676" t="s">
        <v>77</v>
      </c>
      <c r="G754" s="677" t="s">
        <v>44</v>
      </c>
      <c r="H754" s="677" t="s">
        <v>42</v>
      </c>
      <c r="I754" s="678" t="s">
        <v>43</v>
      </c>
      <c r="J754" s="15"/>
      <c r="K754" s="29">
        <f t="shared" si="258"/>
        <v>9013.2999999999993</v>
      </c>
      <c r="L754" s="29">
        <f t="shared" si="258"/>
        <v>0</v>
      </c>
      <c r="M754" s="29">
        <f t="shared" si="258"/>
        <v>9013.2999999999993</v>
      </c>
    </row>
    <row r="755" spans="1:13" s="116" customFormat="1" ht="36" customHeight="1" x14ac:dyDescent="0.35">
      <c r="A755" s="16"/>
      <c r="B755" s="497" t="s">
        <v>225</v>
      </c>
      <c r="C755" s="28" t="s">
        <v>290</v>
      </c>
      <c r="D755" s="15" t="s">
        <v>102</v>
      </c>
      <c r="E755" s="15" t="s">
        <v>79</v>
      </c>
      <c r="F755" s="676" t="s">
        <v>77</v>
      </c>
      <c r="G755" s="677" t="s">
        <v>44</v>
      </c>
      <c r="H755" s="677" t="s">
        <v>61</v>
      </c>
      <c r="I755" s="678" t="s">
        <v>43</v>
      </c>
      <c r="J755" s="15"/>
      <c r="K755" s="29">
        <f>K756+K759+K762</f>
        <v>9013.2999999999993</v>
      </c>
      <c r="L755" s="29">
        <f t="shared" ref="L755" si="259">L756+L759+L762</f>
        <v>0</v>
      </c>
      <c r="M755" s="29">
        <f>M756+M759+M762</f>
        <v>9013.2999999999993</v>
      </c>
    </row>
    <row r="756" spans="1:13" s="116" customFormat="1" ht="272.25" customHeight="1" x14ac:dyDescent="0.35">
      <c r="A756" s="16"/>
      <c r="B756" s="571" t="s">
        <v>228</v>
      </c>
      <c r="C756" s="28" t="s">
        <v>290</v>
      </c>
      <c r="D756" s="15" t="s">
        <v>102</v>
      </c>
      <c r="E756" s="15" t="s">
        <v>79</v>
      </c>
      <c r="F756" s="676" t="s">
        <v>77</v>
      </c>
      <c r="G756" s="677" t="s">
        <v>44</v>
      </c>
      <c r="H756" s="677" t="s">
        <v>61</v>
      </c>
      <c r="I756" s="678" t="s">
        <v>504</v>
      </c>
      <c r="J756" s="15"/>
      <c r="K756" s="29">
        <f>K757+K758</f>
        <v>1025.8</v>
      </c>
      <c r="L756" s="29">
        <f t="shared" ref="L756" si="260">L757+L758</f>
        <v>0</v>
      </c>
      <c r="M756" s="29">
        <f>M757+M758</f>
        <v>1025.8</v>
      </c>
    </row>
    <row r="757" spans="1:13" s="116" customFormat="1" ht="108" customHeight="1" x14ac:dyDescent="0.35">
      <c r="A757" s="16"/>
      <c r="B757" s="497" t="s">
        <v>48</v>
      </c>
      <c r="C757" s="28" t="s">
        <v>290</v>
      </c>
      <c r="D757" s="15" t="s">
        <v>102</v>
      </c>
      <c r="E757" s="15" t="s">
        <v>79</v>
      </c>
      <c r="F757" s="676" t="s">
        <v>77</v>
      </c>
      <c r="G757" s="677" t="s">
        <v>44</v>
      </c>
      <c r="H757" s="677" t="s">
        <v>61</v>
      </c>
      <c r="I757" s="678" t="s">
        <v>504</v>
      </c>
      <c r="J757" s="15" t="s">
        <v>49</v>
      </c>
      <c r="K757" s="29">
        <v>863.8</v>
      </c>
      <c r="L757" s="29">
        <f>M757-K757</f>
        <v>0</v>
      </c>
      <c r="M757" s="29">
        <v>863.8</v>
      </c>
    </row>
    <row r="758" spans="1:13" s="116" customFormat="1" ht="54" customHeight="1" x14ac:dyDescent="0.35">
      <c r="A758" s="16"/>
      <c r="B758" s="497" t="s">
        <v>53</v>
      </c>
      <c r="C758" s="28" t="s">
        <v>290</v>
      </c>
      <c r="D758" s="15" t="s">
        <v>102</v>
      </c>
      <c r="E758" s="15" t="s">
        <v>79</v>
      </c>
      <c r="F758" s="676" t="s">
        <v>77</v>
      </c>
      <c r="G758" s="677" t="s">
        <v>44</v>
      </c>
      <c r="H758" s="677" t="s">
        <v>61</v>
      </c>
      <c r="I758" s="678" t="s">
        <v>504</v>
      </c>
      <c r="J758" s="15" t="s">
        <v>54</v>
      </c>
      <c r="K758" s="29">
        <v>162</v>
      </c>
      <c r="L758" s="29">
        <f>M758-K758</f>
        <v>0</v>
      </c>
      <c r="M758" s="29">
        <v>162</v>
      </c>
    </row>
    <row r="759" spans="1:13" s="116" customFormat="1" ht="108" customHeight="1" x14ac:dyDescent="0.35">
      <c r="A759" s="16"/>
      <c r="B759" s="497" t="s">
        <v>449</v>
      </c>
      <c r="C759" s="28" t="s">
        <v>290</v>
      </c>
      <c r="D759" s="15" t="s">
        <v>102</v>
      </c>
      <c r="E759" s="15" t="s">
        <v>79</v>
      </c>
      <c r="F759" s="676" t="s">
        <v>77</v>
      </c>
      <c r="G759" s="677" t="s">
        <v>44</v>
      </c>
      <c r="H759" s="677" t="s">
        <v>61</v>
      </c>
      <c r="I759" s="678" t="s">
        <v>498</v>
      </c>
      <c r="J759" s="15"/>
      <c r="K759" s="29">
        <f>K760+K761</f>
        <v>756</v>
      </c>
      <c r="L759" s="29">
        <f t="shared" ref="L759" si="261">L760+L761</f>
        <v>0</v>
      </c>
      <c r="M759" s="29">
        <f>M760+M761</f>
        <v>756</v>
      </c>
    </row>
    <row r="760" spans="1:13" s="116" customFormat="1" ht="108" customHeight="1" x14ac:dyDescent="0.35">
      <c r="A760" s="16"/>
      <c r="B760" s="497" t="s">
        <v>48</v>
      </c>
      <c r="C760" s="28" t="s">
        <v>290</v>
      </c>
      <c r="D760" s="15" t="s">
        <v>102</v>
      </c>
      <c r="E760" s="15" t="s">
        <v>79</v>
      </c>
      <c r="F760" s="676" t="s">
        <v>77</v>
      </c>
      <c r="G760" s="677" t="s">
        <v>44</v>
      </c>
      <c r="H760" s="677" t="s">
        <v>61</v>
      </c>
      <c r="I760" s="678" t="s">
        <v>498</v>
      </c>
      <c r="J760" s="15" t="s">
        <v>49</v>
      </c>
      <c r="K760" s="29">
        <v>675</v>
      </c>
      <c r="L760" s="29">
        <f>M760-K760</f>
        <v>0</v>
      </c>
      <c r="M760" s="29">
        <v>675</v>
      </c>
    </row>
    <row r="761" spans="1:13" s="116" customFormat="1" ht="54" customHeight="1" x14ac:dyDescent="0.35">
      <c r="A761" s="16"/>
      <c r="B761" s="497" t="s">
        <v>53</v>
      </c>
      <c r="C761" s="28" t="s">
        <v>290</v>
      </c>
      <c r="D761" s="15" t="s">
        <v>102</v>
      </c>
      <c r="E761" s="15" t="s">
        <v>79</v>
      </c>
      <c r="F761" s="676" t="s">
        <v>77</v>
      </c>
      <c r="G761" s="677" t="s">
        <v>44</v>
      </c>
      <c r="H761" s="677" t="s">
        <v>61</v>
      </c>
      <c r="I761" s="678" t="s">
        <v>498</v>
      </c>
      <c r="J761" s="15" t="s">
        <v>54</v>
      </c>
      <c r="K761" s="29">
        <v>81</v>
      </c>
      <c r="L761" s="29">
        <f>M761-K761</f>
        <v>0</v>
      </c>
      <c r="M761" s="29">
        <v>81</v>
      </c>
    </row>
    <row r="762" spans="1:13" s="116" customFormat="1" ht="72" customHeight="1" x14ac:dyDescent="0.35">
      <c r="A762" s="16"/>
      <c r="B762" s="497" t="s">
        <v>227</v>
      </c>
      <c r="C762" s="28" t="s">
        <v>290</v>
      </c>
      <c r="D762" s="15" t="s">
        <v>102</v>
      </c>
      <c r="E762" s="15" t="s">
        <v>79</v>
      </c>
      <c r="F762" s="676" t="s">
        <v>77</v>
      </c>
      <c r="G762" s="677" t="s">
        <v>44</v>
      </c>
      <c r="H762" s="677" t="s">
        <v>61</v>
      </c>
      <c r="I762" s="678" t="s">
        <v>499</v>
      </c>
      <c r="J762" s="15"/>
      <c r="K762" s="29">
        <f>K763+K764</f>
        <v>7231.5</v>
      </c>
      <c r="L762" s="29">
        <f t="shared" ref="L762" si="262">L763+L764</f>
        <v>0</v>
      </c>
      <c r="M762" s="29">
        <f>M763+M764</f>
        <v>7231.5</v>
      </c>
    </row>
    <row r="763" spans="1:13" s="116" customFormat="1" ht="108" customHeight="1" x14ac:dyDescent="0.35">
      <c r="A763" s="16"/>
      <c r="B763" s="497" t="s">
        <v>48</v>
      </c>
      <c r="C763" s="28" t="s">
        <v>290</v>
      </c>
      <c r="D763" s="15" t="s">
        <v>102</v>
      </c>
      <c r="E763" s="15" t="s">
        <v>79</v>
      </c>
      <c r="F763" s="676" t="s">
        <v>77</v>
      </c>
      <c r="G763" s="677" t="s">
        <v>44</v>
      </c>
      <c r="H763" s="677" t="s">
        <v>61</v>
      </c>
      <c r="I763" s="678" t="s">
        <v>499</v>
      </c>
      <c r="J763" s="15" t="s">
        <v>49</v>
      </c>
      <c r="K763" s="29">
        <v>6502.5</v>
      </c>
      <c r="L763" s="29">
        <f>M763-K763</f>
        <v>0</v>
      </c>
      <c r="M763" s="29">
        <v>6502.5</v>
      </c>
    </row>
    <row r="764" spans="1:13" s="116" customFormat="1" ht="54" customHeight="1" x14ac:dyDescent="0.35">
      <c r="A764" s="16"/>
      <c r="B764" s="497" t="s">
        <v>53</v>
      </c>
      <c r="C764" s="28" t="s">
        <v>290</v>
      </c>
      <c r="D764" s="15" t="s">
        <v>102</v>
      </c>
      <c r="E764" s="15" t="s">
        <v>79</v>
      </c>
      <c r="F764" s="676" t="s">
        <v>77</v>
      </c>
      <c r="G764" s="677" t="s">
        <v>44</v>
      </c>
      <c r="H764" s="677" t="s">
        <v>61</v>
      </c>
      <c r="I764" s="678" t="s">
        <v>499</v>
      </c>
      <c r="J764" s="15" t="s">
        <v>54</v>
      </c>
      <c r="K764" s="29">
        <v>729</v>
      </c>
      <c r="L764" s="29">
        <f>M764-K764</f>
        <v>0</v>
      </c>
      <c r="M764" s="29">
        <v>729</v>
      </c>
    </row>
    <row r="765" spans="1:13" s="116" customFormat="1" ht="18" customHeight="1" x14ac:dyDescent="0.35">
      <c r="A765" s="181"/>
      <c r="B765" s="490"/>
      <c r="C765" s="182"/>
      <c r="D765" s="109"/>
      <c r="E765" s="109"/>
      <c r="F765" s="109"/>
      <c r="G765" s="109"/>
      <c r="H765" s="109"/>
      <c r="I765" s="109"/>
      <c r="J765" s="109"/>
      <c r="K765" s="183"/>
      <c r="L765" s="183"/>
      <c r="M765" s="183"/>
    </row>
    <row r="766" spans="1:13" s="116" customFormat="1" ht="18" customHeight="1" x14ac:dyDescent="0.35">
      <c r="A766" s="181"/>
      <c r="B766" s="490"/>
      <c r="C766" s="182"/>
      <c r="D766" s="109"/>
      <c r="E766" s="109"/>
      <c r="F766" s="109"/>
      <c r="G766" s="109"/>
      <c r="H766" s="109"/>
      <c r="I766" s="109"/>
      <c r="J766" s="109"/>
      <c r="K766" s="183"/>
      <c r="L766" s="183"/>
      <c r="M766" s="183"/>
    </row>
    <row r="767" spans="1:13" s="80" customFormat="1" ht="18.75" customHeight="1" x14ac:dyDescent="0.35">
      <c r="A767" s="439" t="s">
        <v>371</v>
      </c>
      <c r="B767" s="81"/>
      <c r="C767" s="82"/>
      <c r="D767" s="82"/>
      <c r="E767" s="82"/>
      <c r="F767" s="47"/>
      <c r="G767" s="110"/>
      <c r="H767" s="149"/>
      <c r="M767" s="464"/>
    </row>
    <row r="768" spans="1:13" s="80" customFormat="1" ht="18.75" customHeight="1" x14ac:dyDescent="0.35">
      <c r="A768" s="439" t="s">
        <v>372</v>
      </c>
      <c r="B768" s="81"/>
      <c r="C768" s="82"/>
      <c r="D768" s="82"/>
      <c r="E768" s="82"/>
      <c r="F768" s="47"/>
      <c r="G768" s="110"/>
      <c r="H768" s="149"/>
      <c r="M768" s="464"/>
    </row>
    <row r="769" spans="1:14" s="80" customFormat="1" ht="18.75" customHeight="1" x14ac:dyDescent="0.35">
      <c r="A769" s="614" t="s">
        <v>373</v>
      </c>
      <c r="B769" s="81"/>
      <c r="E769" s="82"/>
      <c r="F769" s="47"/>
      <c r="K769" s="80" t="s">
        <v>383</v>
      </c>
      <c r="M769" s="617" t="s">
        <v>383</v>
      </c>
    </row>
    <row r="770" spans="1:14" s="184" customFormat="1" ht="18" customHeight="1" x14ac:dyDescent="0.35">
      <c r="A770" s="614"/>
      <c r="B770" s="490"/>
      <c r="C770" s="182"/>
      <c r="D770" s="109"/>
      <c r="E770" s="109"/>
      <c r="F770" s="109"/>
      <c r="G770" s="109"/>
      <c r="H770" s="109"/>
      <c r="I770" s="109"/>
      <c r="J770" s="109"/>
      <c r="K770" s="183"/>
      <c r="L770" s="183"/>
      <c r="M770" s="183"/>
    </row>
    <row r="771" spans="1:14" s="184" customFormat="1" ht="18" customHeight="1" x14ac:dyDescent="0.35">
      <c r="A771" s="181"/>
      <c r="B771" s="490"/>
      <c r="C771" s="182"/>
      <c r="D771" s="109"/>
      <c r="E771" s="109"/>
      <c r="F771" s="109"/>
      <c r="G771" s="109"/>
      <c r="H771" s="109"/>
      <c r="I771" s="109"/>
      <c r="J771" s="109"/>
      <c r="K771" s="183"/>
      <c r="L771" s="183"/>
      <c r="M771" s="183"/>
    </row>
    <row r="772" spans="1:14" s="184" customFormat="1" ht="18" customHeight="1" x14ac:dyDescent="0.35">
      <c r="A772" s="181"/>
      <c r="B772" s="490"/>
      <c r="C772" s="182"/>
      <c r="D772" s="109"/>
      <c r="E772" s="109"/>
      <c r="F772" s="109"/>
      <c r="G772" s="109"/>
      <c r="H772" s="109"/>
      <c r="I772" s="109"/>
      <c r="J772" s="109"/>
      <c r="K772" s="183"/>
      <c r="L772" s="183"/>
      <c r="M772" s="183"/>
    </row>
    <row r="773" spans="1:14" s="184" customFormat="1" ht="18" hidden="1" customHeight="1" x14ac:dyDescent="0.35">
      <c r="A773" s="181"/>
      <c r="B773" s="490"/>
      <c r="C773" s="182"/>
      <c r="D773" s="33" t="s">
        <v>36</v>
      </c>
      <c r="E773" s="33" t="s">
        <v>38</v>
      </c>
      <c r="F773" s="34"/>
      <c r="G773" s="34"/>
      <c r="H773" s="34"/>
      <c r="I773" s="34"/>
      <c r="J773" s="34"/>
      <c r="K773" s="152">
        <f>K17</f>
        <v>2638.4</v>
      </c>
      <c r="L773" s="152">
        <f>L17</f>
        <v>0</v>
      </c>
      <c r="M773" s="152">
        <f>M17</f>
        <v>2638.4</v>
      </c>
      <c r="N773" s="185"/>
    </row>
    <row r="774" spans="1:14" s="184" customFormat="1" ht="18" hidden="1" customHeight="1" x14ac:dyDescent="0.35">
      <c r="A774" s="181"/>
      <c r="B774" s="490"/>
      <c r="C774" s="182"/>
      <c r="D774" s="33" t="s">
        <v>36</v>
      </c>
      <c r="E774" s="33" t="s">
        <v>50</v>
      </c>
      <c r="F774" s="34"/>
      <c r="G774" s="34"/>
      <c r="H774" s="34"/>
      <c r="I774" s="34"/>
      <c r="J774" s="34"/>
      <c r="K774" s="152">
        <f>K23</f>
        <v>85082.373999999996</v>
      </c>
      <c r="L774" s="152">
        <f>L23</f>
        <v>235.89999999999418</v>
      </c>
      <c r="M774" s="152">
        <f>M23</f>
        <v>85318.27399999999</v>
      </c>
      <c r="N774" s="185"/>
    </row>
    <row r="775" spans="1:14" s="184" customFormat="1" ht="18" hidden="1" customHeight="1" x14ac:dyDescent="0.35">
      <c r="A775" s="181"/>
      <c r="B775" s="490"/>
      <c r="C775" s="182"/>
      <c r="D775" s="33" t="s">
        <v>36</v>
      </c>
      <c r="E775" s="33" t="s">
        <v>63</v>
      </c>
      <c r="F775" s="34"/>
      <c r="G775" s="34"/>
      <c r="H775" s="34"/>
      <c r="I775" s="34"/>
      <c r="J775" s="34"/>
      <c r="K775" s="152">
        <f>K44</f>
        <v>8.6</v>
      </c>
      <c r="L775" s="152">
        <f>L44</f>
        <v>0</v>
      </c>
      <c r="M775" s="152">
        <f>M44</f>
        <v>8.6</v>
      </c>
      <c r="N775" s="185"/>
    </row>
    <row r="776" spans="1:14" s="184" customFormat="1" ht="18" hidden="1" customHeight="1" x14ac:dyDescent="0.35">
      <c r="A776" s="181"/>
      <c r="B776" s="490"/>
      <c r="C776" s="182"/>
      <c r="D776" s="33" t="s">
        <v>36</v>
      </c>
      <c r="E776" s="33" t="s">
        <v>79</v>
      </c>
      <c r="F776" s="34"/>
      <c r="G776" s="34"/>
      <c r="H776" s="34"/>
      <c r="I776" s="34"/>
      <c r="J776" s="34"/>
      <c r="K776" s="152">
        <f>K221+K267</f>
        <v>39489.199999999997</v>
      </c>
      <c r="L776" s="152">
        <f>L221+L267</f>
        <v>0</v>
      </c>
      <c r="M776" s="152">
        <f>M221+M267</f>
        <v>39489.199999999997</v>
      </c>
      <c r="N776" s="185"/>
    </row>
    <row r="777" spans="1:14" s="184" customFormat="1" ht="18" hidden="1" customHeight="1" x14ac:dyDescent="0.35">
      <c r="A777" s="181"/>
      <c r="B777" s="490"/>
      <c r="C777" s="182"/>
      <c r="D777" s="33" t="s">
        <v>36</v>
      </c>
      <c r="E777" s="33" t="s">
        <v>65</v>
      </c>
      <c r="F777" s="34"/>
      <c r="G777" s="34"/>
      <c r="H777" s="34"/>
      <c r="I777" s="34"/>
      <c r="J777" s="34"/>
      <c r="K777" s="152">
        <f>K50</f>
        <v>21322.409049999995</v>
      </c>
      <c r="L777" s="152">
        <f>L50</f>
        <v>-972.59999999999854</v>
      </c>
      <c r="M777" s="152">
        <f>M50</f>
        <v>20349.809049999996</v>
      </c>
      <c r="N777" s="185"/>
    </row>
    <row r="778" spans="1:14" s="184" customFormat="1" ht="18" hidden="1" customHeight="1" x14ac:dyDescent="0.35">
      <c r="A778" s="181"/>
      <c r="B778" s="490"/>
      <c r="C778" s="182"/>
      <c r="D778" s="33" t="s">
        <v>36</v>
      </c>
      <c r="E778" s="33" t="s">
        <v>69</v>
      </c>
      <c r="F778" s="34"/>
      <c r="G778" s="34"/>
      <c r="H778" s="34"/>
      <c r="I778" s="34"/>
      <c r="J778" s="34"/>
      <c r="K778" s="152">
        <f>K55+K232+K285+K697+K558+K639+K388</f>
        <v>109349.90672999999</v>
      </c>
      <c r="L778" s="152">
        <f>L55+L232+L285+L697+L558+L639+L388</f>
        <v>9870.0566400000025</v>
      </c>
      <c r="M778" s="152">
        <f>M55+M232+M285+M697+M558+M639+M388</f>
        <v>119219.96336999998</v>
      </c>
      <c r="N778" s="185"/>
    </row>
    <row r="779" spans="1:14" ht="18" hidden="1" customHeight="1" x14ac:dyDescent="0.35">
      <c r="D779" s="153" t="s">
        <v>36</v>
      </c>
      <c r="E779" s="153" t="s">
        <v>42</v>
      </c>
      <c r="F779" s="34"/>
      <c r="G779" s="34"/>
      <c r="H779" s="34"/>
      <c r="I779" s="34"/>
      <c r="J779" s="34"/>
      <c r="K779" s="154">
        <f t="shared" ref="K779:L779" si="263">SUBTOTAL(9,K773:K778)</f>
        <v>257890.88977999997</v>
      </c>
      <c r="L779" s="154">
        <f t="shared" si="263"/>
        <v>9133.3566399999982</v>
      </c>
      <c r="M779" s="154">
        <f>SUBTOTAL(9,M773:M778)</f>
        <v>267024.24641999998</v>
      </c>
      <c r="N779" s="186"/>
    </row>
    <row r="780" spans="1:14" ht="18" hidden="1" customHeight="1" x14ac:dyDescent="0.35">
      <c r="D780" s="33"/>
      <c r="E780" s="33"/>
      <c r="F780" s="34"/>
      <c r="G780" s="34"/>
      <c r="H780" s="34"/>
      <c r="I780" s="34"/>
      <c r="J780" s="34"/>
      <c r="K780" s="152"/>
      <c r="L780" s="152"/>
      <c r="M780" s="152"/>
      <c r="N780" s="185"/>
    </row>
    <row r="781" spans="1:14" ht="18" hidden="1" customHeight="1" x14ac:dyDescent="0.35">
      <c r="D781" s="33" t="s">
        <v>61</v>
      </c>
      <c r="E781" s="33" t="s">
        <v>102</v>
      </c>
      <c r="F781" s="34"/>
      <c r="G781" s="34"/>
      <c r="H781" s="34"/>
      <c r="I781" s="34"/>
      <c r="J781" s="34"/>
      <c r="K781" s="152">
        <f>K95</f>
        <v>11531.6</v>
      </c>
      <c r="L781" s="152">
        <f>L95</f>
        <v>0</v>
      </c>
      <c r="M781" s="152">
        <f>M95</f>
        <v>11531.6</v>
      </c>
      <c r="N781" s="185"/>
    </row>
    <row r="782" spans="1:14" ht="18" hidden="1" customHeight="1" x14ac:dyDescent="0.35">
      <c r="D782" s="33" t="s">
        <v>61</v>
      </c>
      <c r="E782" s="33" t="s">
        <v>86</v>
      </c>
      <c r="F782" s="34"/>
      <c r="G782" s="34"/>
      <c r="H782" s="34"/>
      <c r="I782" s="34"/>
      <c r="J782" s="34"/>
      <c r="K782" s="152">
        <f>K107</f>
        <v>14101.23913</v>
      </c>
      <c r="L782" s="152">
        <f>L107</f>
        <v>0</v>
      </c>
      <c r="M782" s="152">
        <f>M107</f>
        <v>14101.23913</v>
      </c>
      <c r="N782" s="185"/>
    </row>
    <row r="783" spans="1:14" ht="18" hidden="1" customHeight="1" x14ac:dyDescent="0.35">
      <c r="D783" s="153" t="s">
        <v>61</v>
      </c>
      <c r="E783" s="153" t="s">
        <v>42</v>
      </c>
      <c r="F783" s="34"/>
      <c r="G783" s="34"/>
      <c r="H783" s="34"/>
      <c r="I783" s="34"/>
      <c r="J783" s="34"/>
      <c r="K783" s="154">
        <f t="shared" ref="K783:L783" si="264">SUBTOTAL(9,K781:K782)</f>
        <v>25632.83913</v>
      </c>
      <c r="L783" s="154">
        <f t="shared" si="264"/>
        <v>0</v>
      </c>
      <c r="M783" s="154">
        <f>SUBTOTAL(9,M781:M782)</f>
        <v>25632.83913</v>
      </c>
      <c r="N783" s="186"/>
    </row>
    <row r="784" spans="1:14" ht="18" hidden="1" customHeight="1" x14ac:dyDescent="0.35">
      <c r="D784" s="33"/>
      <c r="E784" s="33"/>
      <c r="F784" s="34"/>
      <c r="G784" s="34"/>
      <c r="H784" s="34"/>
      <c r="I784" s="34"/>
      <c r="J784" s="34"/>
      <c r="K784" s="152"/>
      <c r="L784" s="152"/>
      <c r="M784" s="152"/>
      <c r="N784" s="185"/>
    </row>
    <row r="785" spans="4:14" ht="18" hidden="1" customHeight="1" x14ac:dyDescent="0.35">
      <c r="D785" s="33" t="s">
        <v>50</v>
      </c>
      <c r="E785" s="33" t="s">
        <v>63</v>
      </c>
      <c r="F785" s="34"/>
      <c r="G785" s="34"/>
      <c r="H785" s="34"/>
      <c r="I785" s="34"/>
      <c r="J785" s="34"/>
      <c r="K785" s="152">
        <f>K129</f>
        <v>24038.799999999999</v>
      </c>
      <c r="L785" s="152">
        <f>L129</f>
        <v>0</v>
      </c>
      <c r="M785" s="152">
        <f>M129</f>
        <v>24038.799999999999</v>
      </c>
      <c r="N785" s="185"/>
    </row>
    <row r="786" spans="4:14" ht="18" hidden="1" customHeight="1" x14ac:dyDescent="0.35">
      <c r="D786" s="33" t="s">
        <v>50</v>
      </c>
      <c r="E786" s="33" t="s">
        <v>77</v>
      </c>
      <c r="F786" s="34"/>
      <c r="G786" s="34"/>
      <c r="H786" s="34"/>
      <c r="I786" s="34"/>
      <c r="J786" s="34"/>
      <c r="K786" s="152">
        <f>K138</f>
        <v>10949.71689</v>
      </c>
      <c r="L786" s="152">
        <f>L138</f>
        <v>0</v>
      </c>
      <c r="M786" s="152">
        <f>M138</f>
        <v>10949.71689</v>
      </c>
      <c r="N786" s="185"/>
    </row>
    <row r="787" spans="4:14" ht="18" hidden="1" customHeight="1" x14ac:dyDescent="0.35">
      <c r="D787" s="33" t="s">
        <v>50</v>
      </c>
      <c r="E787" s="33" t="s">
        <v>98</v>
      </c>
      <c r="F787" s="34"/>
      <c r="G787" s="34"/>
      <c r="H787" s="34"/>
      <c r="I787" s="34"/>
      <c r="J787" s="34"/>
      <c r="K787" s="152">
        <f>K144+K329</f>
        <v>3129.1</v>
      </c>
      <c r="L787" s="152">
        <f>L144+L329</f>
        <v>0</v>
      </c>
      <c r="M787" s="152">
        <f>M144+M329</f>
        <v>3129.1</v>
      </c>
      <c r="N787" s="185"/>
    </row>
    <row r="788" spans="4:14" ht="18" hidden="1" customHeight="1" x14ac:dyDescent="0.35">
      <c r="D788" s="153" t="s">
        <v>50</v>
      </c>
      <c r="E788" s="153" t="s">
        <v>42</v>
      </c>
      <c r="F788" s="34"/>
      <c r="G788" s="34"/>
      <c r="H788" s="34"/>
      <c r="I788" s="34"/>
      <c r="J788" s="34"/>
      <c r="K788" s="154">
        <f t="shared" ref="K788:L788" si="265">SUBTOTAL(9,K785:K787)</f>
        <v>38117.616889999998</v>
      </c>
      <c r="L788" s="154">
        <f t="shared" si="265"/>
        <v>0</v>
      </c>
      <c r="M788" s="154">
        <f>SUBTOTAL(9,M785:M787)</f>
        <v>38117.616889999998</v>
      </c>
      <c r="N788" s="186"/>
    </row>
    <row r="789" spans="4:14" ht="18" hidden="1" customHeight="1" x14ac:dyDescent="0.35">
      <c r="D789" s="33"/>
      <c r="E789" s="33"/>
      <c r="F789" s="34"/>
      <c r="G789" s="34"/>
      <c r="H789" s="34"/>
      <c r="I789" s="34"/>
      <c r="J789" s="34"/>
      <c r="K789" s="152"/>
      <c r="L789" s="152"/>
      <c r="M789" s="152"/>
      <c r="N789" s="185"/>
    </row>
    <row r="790" spans="4:14" ht="18" hidden="1" customHeight="1" x14ac:dyDescent="0.35">
      <c r="D790" s="33" t="s">
        <v>63</v>
      </c>
      <c r="E790" s="33" t="s">
        <v>36</v>
      </c>
      <c r="F790" s="34"/>
      <c r="G790" s="34"/>
      <c r="H790" s="34"/>
      <c r="I790" s="34"/>
      <c r="J790" s="34"/>
      <c r="K790" s="152"/>
      <c r="L790" s="152"/>
      <c r="M790" s="152"/>
      <c r="N790" s="185"/>
    </row>
    <row r="791" spans="4:14" ht="18" hidden="1" customHeight="1" x14ac:dyDescent="0.35">
      <c r="D791" s="33" t="s">
        <v>63</v>
      </c>
      <c r="E791" s="33" t="s">
        <v>38</v>
      </c>
      <c r="F791" s="34"/>
      <c r="G791" s="34"/>
      <c r="H791" s="34"/>
      <c r="I791" s="34"/>
      <c r="J791" s="34"/>
      <c r="K791" s="152">
        <f>K340</f>
        <v>97055</v>
      </c>
      <c r="L791" s="152">
        <f>L340</f>
        <v>0</v>
      </c>
      <c r="M791" s="152">
        <f>M340</f>
        <v>97055</v>
      </c>
      <c r="N791" s="185"/>
    </row>
    <row r="792" spans="4:14" ht="18" hidden="1" customHeight="1" x14ac:dyDescent="0.35">
      <c r="D792" s="33" t="s">
        <v>63</v>
      </c>
      <c r="E792" s="33" t="s">
        <v>63</v>
      </c>
      <c r="F792" s="34"/>
      <c r="G792" s="34"/>
      <c r="H792" s="34"/>
      <c r="I792" s="34"/>
      <c r="J792" s="34"/>
      <c r="K792" s="152"/>
      <c r="L792" s="152"/>
      <c r="M792" s="152"/>
      <c r="N792" s="185"/>
    </row>
    <row r="793" spans="4:14" ht="18" hidden="1" customHeight="1" x14ac:dyDescent="0.35">
      <c r="D793" s="33" t="s">
        <v>63</v>
      </c>
      <c r="E793" s="33" t="s">
        <v>61</v>
      </c>
      <c r="F793" s="34"/>
      <c r="G793" s="34"/>
      <c r="H793" s="34"/>
      <c r="I793" s="34"/>
      <c r="J793" s="34"/>
      <c r="K793" s="152">
        <f>K165</f>
        <v>6131.1</v>
      </c>
      <c r="L793" s="152">
        <f>L165</f>
        <v>0</v>
      </c>
      <c r="M793" s="152">
        <f>M165</f>
        <v>6131.1</v>
      </c>
      <c r="N793" s="185"/>
    </row>
    <row r="794" spans="4:14" ht="18" hidden="1" customHeight="1" x14ac:dyDescent="0.35">
      <c r="D794" s="153" t="s">
        <v>63</v>
      </c>
      <c r="E794" s="153" t="s">
        <v>42</v>
      </c>
      <c r="F794" s="34"/>
      <c r="G794" s="34"/>
      <c r="H794" s="34"/>
      <c r="I794" s="34"/>
      <c r="J794" s="34"/>
      <c r="K794" s="154">
        <f t="shared" ref="K794:L794" si="266">SUBTOTAL(9,K790:K793)</f>
        <v>103186.1</v>
      </c>
      <c r="L794" s="154">
        <f t="shared" si="266"/>
        <v>0</v>
      </c>
      <c r="M794" s="154">
        <f>SUBTOTAL(9,M790:M793)</f>
        <v>103186.1</v>
      </c>
      <c r="N794" s="186"/>
    </row>
    <row r="795" spans="4:14" ht="18" hidden="1" customHeight="1" x14ac:dyDescent="0.35">
      <c r="D795" s="33"/>
      <c r="E795" s="33"/>
      <c r="F795" s="34"/>
      <c r="G795" s="34"/>
      <c r="H795" s="34"/>
      <c r="I795" s="34"/>
      <c r="J795" s="34"/>
      <c r="K795" s="152"/>
      <c r="L795" s="152"/>
      <c r="M795" s="152"/>
      <c r="N795" s="185"/>
    </row>
    <row r="796" spans="4:14" ht="18" hidden="1" customHeight="1" x14ac:dyDescent="0.35">
      <c r="D796" s="33" t="s">
        <v>220</v>
      </c>
      <c r="E796" s="33" t="s">
        <v>36</v>
      </c>
      <c r="F796" s="34"/>
      <c r="G796" s="34"/>
      <c r="H796" s="34"/>
      <c r="I796" s="34"/>
      <c r="J796" s="34"/>
      <c r="K796" s="152">
        <f>K404</f>
        <v>433246.39999999997</v>
      </c>
      <c r="L796" s="152">
        <f>L404</f>
        <v>300</v>
      </c>
      <c r="M796" s="152">
        <f>M404+M347</f>
        <v>463129.82999999996</v>
      </c>
      <c r="N796" s="185"/>
    </row>
    <row r="797" spans="4:14" ht="18" hidden="1" customHeight="1" x14ac:dyDescent="0.35">
      <c r="D797" s="33" t="s">
        <v>220</v>
      </c>
      <c r="E797" s="33" t="s">
        <v>38</v>
      </c>
      <c r="F797" s="34"/>
      <c r="G797" s="34"/>
      <c r="H797" s="34"/>
      <c r="I797" s="34"/>
      <c r="J797" s="34"/>
      <c r="K797" s="152">
        <f>K355+K425</f>
        <v>859161.35343000002</v>
      </c>
      <c r="L797" s="152">
        <f>L355+L425</f>
        <v>4365.5400000000036</v>
      </c>
      <c r="M797" s="152">
        <f>M355+M425</f>
        <v>863526.89342999994</v>
      </c>
      <c r="N797" s="185"/>
    </row>
    <row r="798" spans="4:14" ht="18" hidden="1" customHeight="1" x14ac:dyDescent="0.35">
      <c r="D798" s="33" t="s">
        <v>220</v>
      </c>
      <c r="E798" s="33" t="s">
        <v>61</v>
      </c>
      <c r="F798" s="34"/>
      <c r="G798" s="34"/>
      <c r="H798" s="34"/>
      <c r="I798" s="34"/>
      <c r="J798" s="34"/>
      <c r="K798" s="152">
        <f>K480+K568</f>
        <v>150910.79999999996</v>
      </c>
      <c r="L798" s="152">
        <f>L480+L568</f>
        <v>5070.8000000000029</v>
      </c>
      <c r="M798" s="152">
        <f>M480+M568</f>
        <v>155981.59999999998</v>
      </c>
      <c r="N798" s="185"/>
    </row>
    <row r="799" spans="4:14" ht="18" hidden="1" customHeight="1" x14ac:dyDescent="0.35">
      <c r="D799" s="33" t="s">
        <v>220</v>
      </c>
      <c r="E799" s="33" t="s">
        <v>63</v>
      </c>
      <c r="F799" s="34"/>
      <c r="G799" s="34"/>
      <c r="H799" s="34"/>
      <c r="I799" s="34"/>
      <c r="J799" s="34"/>
      <c r="K799" s="152">
        <f>K172+K245+K363+K277+K500</f>
        <v>392.8</v>
      </c>
      <c r="L799" s="152">
        <f>L172+L245+L363+L277+L500</f>
        <v>7.7</v>
      </c>
      <c r="M799" s="152">
        <f>M172+M245+M363+M277+M500</f>
        <v>400.5</v>
      </c>
      <c r="N799" s="185"/>
    </row>
    <row r="800" spans="4:14" ht="18" hidden="1" customHeight="1" x14ac:dyDescent="0.35">
      <c r="D800" s="33" t="s">
        <v>220</v>
      </c>
      <c r="E800" s="33" t="s">
        <v>220</v>
      </c>
      <c r="F800" s="34"/>
      <c r="G800" s="34"/>
      <c r="H800" s="34"/>
      <c r="I800" s="34"/>
      <c r="J800" s="34"/>
      <c r="K800" s="152">
        <f t="shared" ref="K800:L800" si="267">K713</f>
        <v>6312.4</v>
      </c>
      <c r="L800" s="152">
        <f t="shared" si="267"/>
        <v>102.20000000000005</v>
      </c>
      <c r="M800" s="152">
        <f>M713</f>
        <v>6414.5999999999995</v>
      </c>
      <c r="N800" s="185"/>
    </row>
    <row r="801" spans="4:14" ht="18" hidden="1" customHeight="1" x14ac:dyDescent="0.35">
      <c r="D801" s="33" t="s">
        <v>220</v>
      </c>
      <c r="E801" s="33" t="s">
        <v>77</v>
      </c>
      <c r="F801" s="34"/>
      <c r="G801" s="34"/>
      <c r="H801" s="34"/>
      <c r="I801" s="34"/>
      <c r="J801" s="34"/>
      <c r="K801" s="152">
        <f>K506+K582+K723</f>
        <v>102221.25000000003</v>
      </c>
      <c r="L801" s="152">
        <f>L506+L582+L723</f>
        <v>2703.6</v>
      </c>
      <c r="M801" s="152">
        <f>M506+M582+M723</f>
        <v>104924.85000000003</v>
      </c>
      <c r="N801" s="185"/>
    </row>
    <row r="802" spans="4:14" ht="18" hidden="1" customHeight="1" x14ac:dyDescent="0.35">
      <c r="D802" s="153" t="s">
        <v>220</v>
      </c>
      <c r="E802" s="153" t="s">
        <v>42</v>
      </c>
      <c r="F802" s="34"/>
      <c r="G802" s="34"/>
      <c r="H802" s="34"/>
      <c r="I802" s="34"/>
      <c r="J802" s="34"/>
      <c r="K802" s="154">
        <f t="shared" ref="K802:L802" si="268">SUBTOTAL(9,K796:K801)</f>
        <v>1552245.00343</v>
      </c>
      <c r="L802" s="154">
        <f t="shared" si="268"/>
        <v>12549.840000000009</v>
      </c>
      <c r="M802" s="154">
        <f>SUBTOTAL(9,M796:M801)</f>
        <v>1594378.2734300001</v>
      </c>
      <c r="N802" s="186"/>
    </row>
    <row r="803" spans="4:14" ht="18" hidden="1" customHeight="1" x14ac:dyDescent="0.35">
      <c r="D803" s="33"/>
      <c r="E803" s="33"/>
      <c r="F803" s="34"/>
      <c r="G803" s="34"/>
      <c r="H803" s="34"/>
      <c r="I803" s="34"/>
      <c r="J803" s="34"/>
      <c r="K803" s="152"/>
      <c r="L803" s="152"/>
      <c r="M803" s="152"/>
      <c r="N803" s="185"/>
    </row>
    <row r="804" spans="4:14" ht="18" hidden="1" customHeight="1" x14ac:dyDescent="0.35">
      <c r="D804" s="33" t="s">
        <v>222</v>
      </c>
      <c r="E804" s="33" t="s">
        <v>36</v>
      </c>
      <c r="F804" s="34"/>
      <c r="G804" s="34"/>
      <c r="H804" s="34"/>
      <c r="I804" s="34"/>
      <c r="J804" s="34"/>
      <c r="K804" s="152">
        <f t="shared" ref="K804:L804" si="269">K592</f>
        <v>38812.600000000006</v>
      </c>
      <c r="L804" s="152">
        <f t="shared" si="269"/>
        <v>0</v>
      </c>
      <c r="M804" s="152">
        <f>M592</f>
        <v>38812.600000000006</v>
      </c>
      <c r="N804" s="185"/>
    </row>
    <row r="805" spans="4:14" ht="18" hidden="1" customHeight="1" x14ac:dyDescent="0.35">
      <c r="D805" s="33" t="s">
        <v>222</v>
      </c>
      <c r="E805" s="33" t="s">
        <v>50</v>
      </c>
      <c r="F805" s="34"/>
      <c r="G805" s="34"/>
      <c r="H805" s="34"/>
      <c r="I805" s="34"/>
      <c r="J805" s="34"/>
      <c r="K805" s="152">
        <f t="shared" ref="K805:L805" si="270">K620</f>
        <v>14039</v>
      </c>
      <c r="L805" s="152">
        <f t="shared" si="270"/>
        <v>698.69999999999959</v>
      </c>
      <c r="M805" s="152">
        <f>M620</f>
        <v>14737.699999999997</v>
      </c>
      <c r="N805" s="185"/>
    </row>
    <row r="806" spans="4:14" ht="18" hidden="1" customHeight="1" x14ac:dyDescent="0.35">
      <c r="D806" s="153" t="s">
        <v>222</v>
      </c>
      <c r="E806" s="153" t="s">
        <v>42</v>
      </c>
      <c r="F806" s="34"/>
      <c r="G806" s="34"/>
      <c r="H806" s="34"/>
      <c r="I806" s="34"/>
      <c r="J806" s="34"/>
      <c r="K806" s="154">
        <f t="shared" ref="K806:L806" si="271">SUBTOTAL(9,K804:K805)</f>
        <v>52851.600000000006</v>
      </c>
      <c r="L806" s="154">
        <f t="shared" si="271"/>
        <v>698.69999999999959</v>
      </c>
      <c r="M806" s="154">
        <f>SUBTOTAL(9,M804:M805)</f>
        <v>53550.3</v>
      </c>
      <c r="N806" s="186"/>
    </row>
    <row r="807" spans="4:14" ht="18" hidden="1" customHeight="1" x14ac:dyDescent="0.35">
      <c r="D807" s="33"/>
      <c r="E807" s="33"/>
      <c r="F807" s="34"/>
      <c r="G807" s="34"/>
      <c r="H807" s="34"/>
      <c r="I807" s="34"/>
      <c r="J807" s="34"/>
      <c r="K807" s="152"/>
      <c r="L807" s="152"/>
      <c r="M807" s="152"/>
      <c r="N807" s="185"/>
    </row>
    <row r="808" spans="4:14" ht="18" hidden="1" customHeight="1" x14ac:dyDescent="0.35">
      <c r="D808" s="33" t="s">
        <v>102</v>
      </c>
      <c r="E808" s="33" t="s">
        <v>36</v>
      </c>
      <c r="F808" s="34"/>
      <c r="G808" s="34"/>
      <c r="H808" s="34"/>
      <c r="I808" s="34"/>
      <c r="J808" s="34"/>
      <c r="K808" s="152">
        <f>K182</f>
        <v>1846.5</v>
      </c>
      <c r="L808" s="152">
        <f>L182</f>
        <v>0</v>
      </c>
      <c r="M808" s="152">
        <f>M182</f>
        <v>1846.5</v>
      </c>
      <c r="N808" s="185"/>
    </row>
    <row r="809" spans="4:14" ht="18" hidden="1" customHeight="1" x14ac:dyDescent="0.35">
      <c r="D809" s="33" t="s">
        <v>102</v>
      </c>
      <c r="E809" s="33" t="s">
        <v>61</v>
      </c>
      <c r="F809" s="34"/>
      <c r="G809" s="34"/>
      <c r="H809" s="34"/>
      <c r="I809" s="34"/>
      <c r="J809" s="34"/>
      <c r="K809" s="152"/>
      <c r="L809" s="152"/>
      <c r="M809" s="152">
        <f>M188</f>
        <v>2779.5</v>
      </c>
      <c r="N809" s="185"/>
    </row>
    <row r="810" spans="4:14" ht="18" hidden="1" customHeight="1" x14ac:dyDescent="0.35">
      <c r="D810" s="33" t="s">
        <v>102</v>
      </c>
      <c r="E810" s="33" t="s">
        <v>50</v>
      </c>
      <c r="F810" s="34"/>
      <c r="G810" s="34"/>
      <c r="H810" s="34"/>
      <c r="I810" s="34"/>
      <c r="J810" s="34"/>
      <c r="K810" s="152">
        <f>K370+K537+K734</f>
        <v>134854.97473999998</v>
      </c>
      <c r="L810" s="152">
        <f>L370+L537+L734</f>
        <v>14203.603359999999</v>
      </c>
      <c r="M810" s="152">
        <f>M370+M537+M734</f>
        <v>149058.57809999998</v>
      </c>
      <c r="N810" s="185"/>
    </row>
    <row r="811" spans="4:14" ht="18" hidden="1" customHeight="1" x14ac:dyDescent="0.35">
      <c r="D811" s="33" t="s">
        <v>102</v>
      </c>
      <c r="E811" s="33" t="s">
        <v>79</v>
      </c>
      <c r="F811" s="34"/>
      <c r="G811" s="34"/>
      <c r="H811" s="34"/>
      <c r="I811" s="34"/>
      <c r="J811" s="34"/>
      <c r="K811" s="152">
        <f>K194+K752</f>
        <v>12417.9</v>
      </c>
      <c r="L811" s="152">
        <f>L194+L752</f>
        <v>0</v>
      </c>
      <c r="M811" s="152">
        <f>M194+M752</f>
        <v>12417.9</v>
      </c>
      <c r="N811" s="185"/>
    </row>
    <row r="812" spans="4:14" ht="18" hidden="1" customHeight="1" x14ac:dyDescent="0.35">
      <c r="D812" s="153" t="s">
        <v>102</v>
      </c>
      <c r="E812" s="153" t="s">
        <v>42</v>
      </c>
      <c r="F812" s="34"/>
      <c r="G812" s="34"/>
      <c r="H812" s="34"/>
      <c r="I812" s="34"/>
      <c r="J812" s="34"/>
      <c r="K812" s="154">
        <f t="shared" ref="K812:L812" si="272">SUBTOTAL(9,K808:K811)</f>
        <v>149119.37473999997</v>
      </c>
      <c r="L812" s="154">
        <f t="shared" si="272"/>
        <v>14203.603359999999</v>
      </c>
      <c r="M812" s="154">
        <f>SUBTOTAL(9,M808:M811)</f>
        <v>166102.47809999998</v>
      </c>
      <c r="N812" s="186"/>
    </row>
    <row r="813" spans="4:14" ht="18" hidden="1" customHeight="1" x14ac:dyDescent="0.35">
      <c r="D813" s="33"/>
      <c r="E813" s="33"/>
      <c r="F813" s="34"/>
      <c r="G813" s="34"/>
      <c r="H813" s="34"/>
      <c r="I813" s="34"/>
      <c r="J813" s="34"/>
      <c r="K813" s="152"/>
      <c r="L813" s="152"/>
      <c r="M813" s="152"/>
      <c r="N813" s="185"/>
    </row>
    <row r="814" spans="4:14" ht="18" hidden="1" customHeight="1" x14ac:dyDescent="0.35">
      <c r="D814" s="33" t="s">
        <v>65</v>
      </c>
      <c r="E814" s="33" t="s">
        <v>36</v>
      </c>
      <c r="F814" s="34"/>
      <c r="G814" s="34"/>
      <c r="H814" s="34"/>
      <c r="I814" s="34"/>
      <c r="J814" s="34"/>
      <c r="K814" s="152">
        <f>K646+K379</f>
        <v>32200.2</v>
      </c>
      <c r="L814" s="152">
        <f>L646+L379</f>
        <v>0</v>
      </c>
      <c r="M814" s="152">
        <f>M646+M379</f>
        <v>32200.2</v>
      </c>
      <c r="N814" s="185"/>
    </row>
    <row r="815" spans="4:14" ht="18" hidden="1" customHeight="1" x14ac:dyDescent="0.35">
      <c r="D815" s="33" t="s">
        <v>65</v>
      </c>
      <c r="E815" s="33" t="s">
        <v>38</v>
      </c>
      <c r="F815" s="34"/>
      <c r="G815" s="34"/>
      <c r="H815" s="34"/>
      <c r="I815" s="34"/>
      <c r="J815" s="34"/>
      <c r="K815" s="152">
        <f t="shared" ref="K815:L815" si="273">K656</f>
        <v>31407.3</v>
      </c>
      <c r="L815" s="152">
        <f t="shared" si="273"/>
        <v>0</v>
      </c>
      <c r="M815" s="152">
        <f>M656</f>
        <v>31407.3</v>
      </c>
      <c r="N815" s="185"/>
    </row>
    <row r="816" spans="4:14" ht="18" hidden="1" customHeight="1" x14ac:dyDescent="0.35">
      <c r="D816" s="33" t="s">
        <v>65</v>
      </c>
      <c r="E816" s="33" t="s">
        <v>61</v>
      </c>
      <c r="F816" s="34"/>
      <c r="G816" s="34"/>
      <c r="H816" s="34"/>
      <c r="I816" s="34"/>
      <c r="J816" s="34"/>
      <c r="K816" s="152">
        <f>K668+K545</f>
        <v>73814.91</v>
      </c>
      <c r="L816" s="152">
        <f>L668+L545</f>
        <v>1853.2999999999984</v>
      </c>
      <c r="M816" s="152">
        <f>M668+M545</f>
        <v>75668.210000000006</v>
      </c>
      <c r="N816" s="185"/>
    </row>
    <row r="817" spans="2:14" ht="18" hidden="1" customHeight="1" x14ac:dyDescent="0.35">
      <c r="D817" s="33" t="s">
        <v>65</v>
      </c>
      <c r="E817" s="33" t="s">
        <v>63</v>
      </c>
      <c r="F817" s="34"/>
      <c r="G817" s="34"/>
      <c r="H817" s="34"/>
      <c r="I817" s="34"/>
      <c r="J817" s="34"/>
      <c r="K817" s="152">
        <f t="shared" ref="K817:L817" si="274">K686</f>
        <v>3088.7000000000003</v>
      </c>
      <c r="L817" s="152">
        <f t="shared" si="274"/>
        <v>0</v>
      </c>
      <c r="M817" s="152">
        <f>M686</f>
        <v>3088.7000000000003</v>
      </c>
      <c r="N817" s="185"/>
    </row>
    <row r="818" spans="2:14" ht="18" hidden="1" customHeight="1" x14ac:dyDescent="0.35">
      <c r="D818" s="153" t="s">
        <v>65</v>
      </c>
      <c r="E818" s="153" t="s">
        <v>42</v>
      </c>
      <c r="F818" s="34"/>
      <c r="G818" s="34"/>
      <c r="H818" s="34"/>
      <c r="I818" s="34"/>
      <c r="J818" s="34"/>
      <c r="K818" s="154">
        <f t="shared" ref="K818:L818" si="275">SUBTOTAL(9,K814:K817)</f>
        <v>140511.11000000002</v>
      </c>
      <c r="L818" s="154">
        <f t="shared" si="275"/>
        <v>1853.2999999999984</v>
      </c>
      <c r="M818" s="154">
        <f>SUBTOTAL(9,M814:M817)</f>
        <v>142364.41000000003</v>
      </c>
      <c r="N818" s="186"/>
    </row>
    <row r="819" spans="2:14" ht="18" hidden="1" customHeight="1" x14ac:dyDescent="0.35">
      <c r="D819" s="33"/>
      <c r="E819" s="33"/>
      <c r="F819" s="34"/>
      <c r="G819" s="34"/>
      <c r="H819" s="34"/>
      <c r="I819" s="34"/>
      <c r="J819" s="34"/>
      <c r="K819" s="152"/>
      <c r="L819" s="152"/>
      <c r="M819" s="152"/>
      <c r="N819" s="185"/>
    </row>
    <row r="820" spans="2:14" ht="18" hidden="1" customHeight="1" x14ac:dyDescent="0.35">
      <c r="D820" s="33" t="s">
        <v>69</v>
      </c>
      <c r="E820" s="33" t="s">
        <v>36</v>
      </c>
      <c r="F820" s="34"/>
      <c r="G820" s="34"/>
      <c r="H820" s="34"/>
      <c r="I820" s="34"/>
      <c r="J820" s="34"/>
      <c r="K820" s="152">
        <f>K200</f>
        <v>36</v>
      </c>
      <c r="L820" s="152">
        <f>L200</f>
        <v>0</v>
      </c>
      <c r="M820" s="152">
        <f>M200</f>
        <v>36</v>
      </c>
      <c r="N820" s="185"/>
    </row>
    <row r="821" spans="2:14" ht="18" hidden="1" customHeight="1" x14ac:dyDescent="0.35">
      <c r="D821" s="153" t="s">
        <v>69</v>
      </c>
      <c r="E821" s="153" t="s">
        <v>42</v>
      </c>
      <c r="F821" s="34"/>
      <c r="G821" s="34"/>
      <c r="H821" s="34"/>
      <c r="I821" s="34"/>
      <c r="J821" s="34"/>
      <c r="K821" s="154">
        <f t="shared" ref="K821:L821" si="276">K820</f>
        <v>36</v>
      </c>
      <c r="L821" s="154">
        <f t="shared" si="276"/>
        <v>0</v>
      </c>
      <c r="M821" s="154">
        <f>M820</f>
        <v>36</v>
      </c>
      <c r="N821" s="186"/>
    </row>
    <row r="822" spans="2:14" ht="18" hidden="1" customHeight="1" x14ac:dyDescent="0.35">
      <c r="D822" s="33"/>
      <c r="E822" s="33"/>
      <c r="F822" s="34"/>
      <c r="G822" s="34"/>
      <c r="H822" s="34"/>
      <c r="I822" s="34"/>
      <c r="J822" s="34"/>
      <c r="K822" s="152"/>
      <c r="L822" s="152"/>
      <c r="M822" s="152"/>
      <c r="N822" s="185"/>
    </row>
    <row r="823" spans="2:14" ht="18" hidden="1" customHeight="1" x14ac:dyDescent="0.35">
      <c r="D823" s="33" t="s">
        <v>86</v>
      </c>
      <c r="E823" s="33" t="s">
        <v>36</v>
      </c>
      <c r="F823" s="34"/>
      <c r="G823" s="34"/>
      <c r="H823" s="34"/>
      <c r="I823" s="34"/>
      <c r="J823" s="34"/>
      <c r="K823" s="152">
        <f>K252</f>
        <v>9000</v>
      </c>
      <c r="L823" s="152">
        <f>L252</f>
        <v>0</v>
      </c>
      <c r="M823" s="152">
        <f>M252</f>
        <v>9000</v>
      </c>
      <c r="N823" s="185"/>
    </row>
    <row r="824" spans="2:14" ht="18" hidden="1" customHeight="1" x14ac:dyDescent="0.35">
      <c r="D824" s="33" t="s">
        <v>86</v>
      </c>
      <c r="E824" s="33" t="s">
        <v>38</v>
      </c>
      <c r="F824" s="34"/>
      <c r="G824" s="34"/>
      <c r="H824" s="34"/>
      <c r="I824" s="34"/>
      <c r="J824" s="34"/>
      <c r="K824" s="152"/>
      <c r="L824" s="152"/>
      <c r="M824" s="152"/>
      <c r="N824" s="185"/>
    </row>
    <row r="825" spans="2:14" ht="18" hidden="1" customHeight="1" x14ac:dyDescent="0.35">
      <c r="D825" s="33" t="s">
        <v>86</v>
      </c>
      <c r="E825" s="33" t="s">
        <v>61</v>
      </c>
      <c r="F825" s="34"/>
      <c r="G825" s="34"/>
      <c r="H825" s="34"/>
      <c r="I825" s="34"/>
      <c r="J825" s="34"/>
      <c r="K825" s="152"/>
      <c r="L825" s="152"/>
      <c r="M825" s="152">
        <f>M208+M258</f>
        <v>30315</v>
      </c>
      <c r="N825" s="185"/>
    </row>
    <row r="826" spans="2:14" ht="18" hidden="1" customHeight="1" x14ac:dyDescent="0.35">
      <c r="D826" s="153" t="s">
        <v>86</v>
      </c>
      <c r="E826" s="153" t="s">
        <v>42</v>
      </c>
      <c r="F826" s="34"/>
      <c r="G826" s="34"/>
      <c r="H826" s="34"/>
      <c r="I826" s="34"/>
      <c r="J826" s="34"/>
      <c r="K826" s="154">
        <f t="shared" ref="K826:L826" si="277">SUBTOTAL(9,K823:K825)</f>
        <v>9000</v>
      </c>
      <c r="L826" s="154">
        <f t="shared" si="277"/>
        <v>0</v>
      </c>
      <c r="M826" s="154">
        <f>SUBTOTAL(9,M823:M825)</f>
        <v>39315</v>
      </c>
      <c r="N826" s="186"/>
    </row>
    <row r="827" spans="2:14" ht="18" hidden="1" customHeight="1" x14ac:dyDescent="0.35">
      <c r="D827" s="77"/>
      <c r="E827" s="33"/>
      <c r="F827" s="34"/>
      <c r="G827" s="34"/>
      <c r="H827" s="34"/>
      <c r="I827" s="34"/>
      <c r="J827" s="34"/>
      <c r="K827" s="465">
        <f t="shared" ref="K827:L827" si="278">K779+K783+K788+K794+K802+K806+K812+K818+K821+K826</f>
        <v>2328590.5339699998</v>
      </c>
      <c r="L827" s="465">
        <f t="shared" si="278"/>
        <v>38438.800000000003</v>
      </c>
      <c r="M827" s="465">
        <f>M779+M783+M788+M794+M802+M806+M812+M818+M821+M826</f>
        <v>2429707.2639700002</v>
      </c>
      <c r="N827" s="79"/>
    </row>
    <row r="828" spans="2:14" ht="18" hidden="1" customHeight="1" x14ac:dyDescent="0.35">
      <c r="D828" s="78"/>
      <c r="E828" s="78"/>
      <c r="F828" s="38"/>
      <c r="G828" s="38"/>
      <c r="H828" s="38"/>
      <c r="I828" s="38"/>
      <c r="J828" s="38"/>
      <c r="K828" s="466"/>
      <c r="L828" s="466"/>
      <c r="M828" s="466"/>
      <c r="N828" s="79"/>
    </row>
    <row r="829" spans="2:14" ht="18" hidden="1" customHeight="1" x14ac:dyDescent="0.35">
      <c r="B829" s="488" t="s">
        <v>363</v>
      </c>
      <c r="D829" s="78"/>
      <c r="E829" s="78"/>
      <c r="F829" s="38"/>
      <c r="G829" s="38"/>
      <c r="H829" s="38"/>
      <c r="I829" s="38"/>
      <c r="J829" s="38"/>
      <c r="K829" s="466"/>
      <c r="L829" s="466"/>
      <c r="M829" s="466"/>
      <c r="N829" s="79"/>
    </row>
    <row r="830" spans="2:14" ht="18" hidden="1" customHeight="1" x14ac:dyDescent="0.35">
      <c r="B830" s="488" t="s">
        <v>362</v>
      </c>
      <c r="D830" s="78"/>
      <c r="E830" s="78"/>
      <c r="F830" s="38"/>
      <c r="G830" s="38"/>
      <c r="H830" s="38"/>
      <c r="I830" s="38"/>
      <c r="J830" s="38"/>
      <c r="K830" s="466"/>
      <c r="L830" s="466"/>
      <c r="M830" s="466"/>
      <c r="N830" s="79"/>
    </row>
    <row r="831" spans="2:14" ht="18" customHeight="1" x14ac:dyDescent="0.35">
      <c r="D831" s="78"/>
      <c r="E831" s="78"/>
      <c r="F831" s="38"/>
      <c r="G831" s="38"/>
      <c r="H831" s="38"/>
      <c r="I831" s="38"/>
      <c r="J831" s="38"/>
      <c r="K831" s="467"/>
      <c r="L831" s="467"/>
      <c r="M831" s="467"/>
      <c r="N831" s="79"/>
    </row>
    <row r="832" spans="2:14" ht="18" customHeight="1" x14ac:dyDescent="0.35">
      <c r="D832" s="78"/>
      <c r="E832" s="78"/>
      <c r="F832" s="38"/>
      <c r="G832" s="38"/>
      <c r="H832" s="38"/>
      <c r="I832" s="38"/>
      <c r="J832" s="38"/>
      <c r="K832" s="468"/>
      <c r="L832" s="468"/>
      <c r="M832" s="468"/>
      <c r="N832" s="79"/>
    </row>
    <row r="833" spans="4:14" ht="14.4" customHeight="1" x14ac:dyDescent="0.3">
      <c r="D833" s="79"/>
      <c r="E833" s="79"/>
      <c r="F833" s="79"/>
      <c r="G833" s="79"/>
      <c r="H833" s="79"/>
      <c r="I833" s="79"/>
      <c r="J833" s="79"/>
      <c r="K833" s="468"/>
      <c r="L833" s="468"/>
      <c r="M833" s="468"/>
      <c r="N833" s="79"/>
    </row>
    <row r="834" spans="4:14" ht="14.4" customHeight="1" x14ac:dyDescent="0.3">
      <c r="D834" s="79"/>
      <c r="E834" s="79"/>
      <c r="F834" s="79"/>
      <c r="G834" s="79"/>
      <c r="H834" s="79"/>
      <c r="I834" s="79"/>
      <c r="J834" s="79"/>
      <c r="K834" s="468"/>
      <c r="L834" s="468"/>
      <c r="M834" s="468"/>
      <c r="N834" s="79"/>
    </row>
    <row r="835" spans="4:14" ht="14.4" customHeight="1" x14ac:dyDescent="0.3">
      <c r="D835" s="79"/>
      <c r="E835" s="79"/>
      <c r="F835" s="79"/>
      <c r="G835" s="79"/>
      <c r="H835" s="79"/>
      <c r="I835" s="79"/>
      <c r="J835" s="79"/>
      <c r="K835" s="468"/>
      <c r="L835" s="468"/>
      <c r="M835" s="468"/>
      <c r="N835" s="79"/>
    </row>
    <row r="836" spans="4:14" ht="14.4" customHeight="1" x14ac:dyDescent="0.3">
      <c r="D836" s="79"/>
      <c r="E836" s="79"/>
      <c r="F836" s="79"/>
      <c r="G836" s="79"/>
      <c r="H836" s="79"/>
      <c r="I836" s="79"/>
      <c r="J836" s="79"/>
      <c r="K836" s="468"/>
      <c r="L836" s="468"/>
      <c r="M836" s="468"/>
      <c r="N836" s="79"/>
    </row>
    <row r="837" spans="4:14" ht="14.4" customHeight="1" x14ac:dyDescent="0.3">
      <c r="D837" s="79"/>
      <c r="E837" s="79"/>
      <c r="F837" s="79"/>
      <c r="G837" s="79"/>
      <c r="H837" s="79"/>
      <c r="I837" s="79"/>
      <c r="J837" s="79"/>
      <c r="K837" s="468"/>
      <c r="L837" s="468"/>
      <c r="M837" s="468"/>
      <c r="N837" s="79"/>
    </row>
    <row r="838" spans="4:14" ht="14.4" customHeight="1" x14ac:dyDescent="0.3">
      <c r="D838" s="79"/>
      <c r="E838" s="79"/>
      <c r="F838" s="79"/>
      <c r="G838" s="79"/>
      <c r="H838" s="79"/>
      <c r="I838" s="79"/>
      <c r="J838" s="79"/>
      <c r="K838" s="468"/>
      <c r="L838" s="468"/>
      <c r="M838" s="468"/>
      <c r="N838" s="79"/>
    </row>
    <row r="839" spans="4:14" ht="14.4" customHeight="1" x14ac:dyDescent="0.3">
      <c r="D839" s="79"/>
      <c r="E839" s="79"/>
      <c r="F839" s="79"/>
      <c r="G839" s="79"/>
      <c r="H839" s="79"/>
      <c r="I839" s="79"/>
      <c r="J839" s="79"/>
      <c r="K839" s="468"/>
      <c r="L839" s="468"/>
      <c r="M839" s="468"/>
      <c r="N839" s="79"/>
    </row>
    <row r="840" spans="4:14" ht="14.4" customHeight="1" x14ac:dyDescent="0.3">
      <c r="D840" s="79"/>
      <c r="E840" s="79"/>
      <c r="F840" s="79"/>
      <c r="G840" s="79"/>
      <c r="H840" s="79"/>
      <c r="I840" s="79"/>
      <c r="J840" s="79"/>
      <c r="K840" s="468"/>
      <c r="L840" s="468"/>
      <c r="M840" s="468"/>
      <c r="N840" s="79"/>
    </row>
    <row r="841" spans="4:14" ht="14.4" customHeight="1" x14ac:dyDescent="0.3">
      <c r="D841" s="79"/>
      <c r="E841" s="79"/>
      <c r="F841" s="79"/>
      <c r="G841" s="79"/>
      <c r="H841" s="79"/>
      <c r="I841" s="79"/>
      <c r="J841" s="79"/>
      <c r="K841" s="468"/>
      <c r="L841" s="468"/>
      <c r="M841" s="468"/>
      <c r="N841" s="79"/>
    </row>
    <row r="842" spans="4:14" ht="14.4" customHeight="1" x14ac:dyDescent="0.3">
      <c r="D842" s="79"/>
      <c r="E842" s="79"/>
      <c r="F842" s="79"/>
      <c r="G842" s="79"/>
      <c r="H842" s="79"/>
      <c r="I842" s="79"/>
      <c r="J842" s="79"/>
      <c r="K842" s="468"/>
      <c r="L842" s="468"/>
      <c r="M842" s="468"/>
      <c r="N842" s="79"/>
    </row>
    <row r="843" spans="4:14" ht="14.4" customHeight="1" x14ac:dyDescent="0.3">
      <c r="D843" s="79"/>
      <c r="E843" s="79"/>
      <c r="F843" s="79"/>
      <c r="G843" s="79"/>
      <c r="H843" s="79"/>
      <c r="I843" s="79"/>
      <c r="J843" s="79"/>
      <c r="K843" s="468"/>
      <c r="L843" s="468"/>
      <c r="M843" s="468"/>
      <c r="N843" s="79"/>
    </row>
    <row r="844" spans="4:14" ht="14.4" customHeight="1" x14ac:dyDescent="0.3">
      <c r="D844" s="79"/>
      <c r="E844" s="79"/>
      <c r="F844" s="79"/>
      <c r="G844" s="79"/>
      <c r="H844" s="79"/>
      <c r="I844" s="79"/>
      <c r="J844" s="79"/>
      <c r="K844" s="468"/>
      <c r="L844" s="468"/>
      <c r="M844" s="468"/>
      <c r="N844" s="79"/>
    </row>
    <row r="845" spans="4:14" ht="14.4" customHeight="1" x14ac:dyDescent="0.3">
      <c r="D845" s="79"/>
      <c r="E845" s="79"/>
      <c r="F845" s="79"/>
      <c r="G845" s="79"/>
      <c r="H845" s="79"/>
      <c r="I845" s="79"/>
      <c r="J845" s="79"/>
      <c r="K845" s="468"/>
      <c r="L845" s="468"/>
      <c r="M845" s="468"/>
      <c r="N845" s="79"/>
    </row>
    <row r="846" spans="4:14" ht="14.4" customHeight="1" x14ac:dyDescent="0.3">
      <c r="D846" s="79"/>
      <c r="E846" s="79"/>
      <c r="F846" s="79"/>
      <c r="G846" s="79"/>
      <c r="H846" s="79"/>
      <c r="I846" s="79"/>
      <c r="J846" s="79"/>
      <c r="K846" s="468"/>
      <c r="L846" s="468"/>
      <c r="M846" s="468"/>
      <c r="N846" s="79"/>
    </row>
    <row r="847" spans="4:14" ht="14.4" customHeight="1" x14ac:dyDescent="0.3">
      <c r="D847" s="79"/>
      <c r="E847" s="79"/>
      <c r="F847" s="79"/>
      <c r="G847" s="79"/>
      <c r="H847" s="79"/>
      <c r="I847" s="79"/>
      <c r="J847" s="79"/>
      <c r="K847" s="468"/>
      <c r="L847" s="468"/>
      <c r="M847" s="468"/>
      <c r="N847" s="79"/>
    </row>
    <row r="848" spans="4:14" ht="14.4" customHeight="1" x14ac:dyDescent="0.3">
      <c r="D848" s="79"/>
      <c r="E848" s="79"/>
      <c r="F848" s="79"/>
      <c r="G848" s="79"/>
      <c r="H848" s="79"/>
      <c r="I848" s="79"/>
      <c r="J848" s="79"/>
      <c r="K848" s="468"/>
      <c r="L848" s="468"/>
      <c r="M848" s="468"/>
      <c r="N848" s="79"/>
    </row>
    <row r="849" spans="4:14" ht="14.4" customHeight="1" x14ac:dyDescent="0.3">
      <c r="D849" s="79"/>
      <c r="E849" s="79"/>
      <c r="F849" s="79"/>
      <c r="G849" s="79"/>
      <c r="H849" s="79"/>
      <c r="I849" s="79"/>
      <c r="J849" s="79"/>
      <c r="K849" s="468"/>
      <c r="L849" s="468"/>
      <c r="M849" s="468"/>
      <c r="N849" s="79"/>
    </row>
    <row r="850" spans="4:14" ht="14.4" customHeight="1" x14ac:dyDescent="0.3">
      <c r="D850" s="79"/>
      <c r="E850" s="79"/>
      <c r="F850" s="79"/>
      <c r="G850" s="79"/>
      <c r="H850" s="79"/>
      <c r="I850" s="79"/>
      <c r="J850" s="79"/>
      <c r="K850" s="468"/>
      <c r="L850" s="468"/>
      <c r="M850" s="468"/>
      <c r="N850" s="79"/>
    </row>
    <row r="851" spans="4:14" ht="14.4" customHeight="1" x14ac:dyDescent="0.3">
      <c r="D851" s="79"/>
      <c r="E851" s="79"/>
      <c r="F851" s="79"/>
      <c r="G851" s="79"/>
      <c r="H851" s="79"/>
      <c r="I851" s="79"/>
      <c r="J851" s="79"/>
      <c r="K851" s="468"/>
      <c r="L851" s="468"/>
      <c r="M851" s="468"/>
      <c r="N851" s="79"/>
    </row>
    <row r="852" spans="4:14" ht="14.4" customHeight="1" x14ac:dyDescent="0.3">
      <c r="D852" s="79"/>
      <c r="E852" s="79"/>
      <c r="F852" s="79"/>
      <c r="G852" s="79"/>
      <c r="H852" s="79"/>
      <c r="I852" s="79"/>
      <c r="J852" s="79"/>
      <c r="K852" s="468"/>
      <c r="L852" s="468"/>
      <c r="M852" s="468"/>
      <c r="N852" s="79"/>
    </row>
    <row r="853" spans="4:14" ht="14.4" customHeight="1" x14ac:dyDescent="0.3">
      <c r="D853" s="79"/>
      <c r="E853" s="79"/>
      <c r="F853" s="79"/>
      <c r="G853" s="79"/>
      <c r="H853" s="79"/>
      <c r="I853" s="79"/>
      <c r="J853" s="79"/>
      <c r="K853" s="468"/>
      <c r="L853" s="468"/>
      <c r="M853" s="468"/>
      <c r="N853" s="79"/>
    </row>
    <row r="854" spans="4:14" ht="14.4" customHeight="1" x14ac:dyDescent="0.3">
      <c r="D854" s="79"/>
      <c r="E854" s="79"/>
      <c r="F854" s="79"/>
      <c r="G854" s="79"/>
      <c r="H854" s="79"/>
      <c r="I854" s="79"/>
      <c r="J854" s="79"/>
      <c r="K854" s="468"/>
      <c r="L854" s="468"/>
      <c r="M854" s="468"/>
      <c r="N854" s="79"/>
    </row>
    <row r="855" spans="4:14" ht="14.4" customHeight="1" x14ac:dyDescent="0.3">
      <c r="D855" s="79"/>
      <c r="E855" s="79"/>
      <c r="F855" s="79"/>
      <c r="G855" s="79"/>
      <c r="H855" s="79"/>
      <c r="I855" s="79"/>
      <c r="J855" s="79"/>
      <c r="K855" s="468"/>
      <c r="L855" s="468"/>
      <c r="M855" s="468"/>
      <c r="N855" s="79"/>
    </row>
    <row r="856" spans="4:14" ht="14.4" customHeight="1" x14ac:dyDescent="0.3">
      <c r="D856" s="79"/>
      <c r="E856" s="79"/>
      <c r="F856" s="79"/>
      <c r="G856" s="79"/>
      <c r="H856" s="79"/>
      <c r="I856" s="79"/>
      <c r="J856" s="79"/>
      <c r="K856" s="468"/>
      <c r="L856" s="468"/>
      <c r="M856" s="468"/>
      <c r="N856" s="79"/>
    </row>
    <row r="857" spans="4:14" ht="14.4" customHeight="1" x14ac:dyDescent="0.3">
      <c r="D857" s="79"/>
      <c r="E857" s="79"/>
      <c r="F857" s="79"/>
      <c r="G857" s="79"/>
      <c r="H857" s="79"/>
      <c r="I857" s="79"/>
      <c r="J857" s="79"/>
      <c r="K857" s="468"/>
      <c r="L857" s="468"/>
      <c r="M857" s="468"/>
      <c r="N857" s="79"/>
    </row>
    <row r="858" spans="4:14" ht="14.4" customHeight="1" x14ac:dyDescent="0.3">
      <c r="D858" s="79"/>
      <c r="E858" s="79"/>
      <c r="F858" s="79"/>
      <c r="G858" s="79"/>
      <c r="H858" s="79"/>
      <c r="I858" s="79"/>
      <c r="J858" s="79"/>
      <c r="K858" s="468"/>
      <c r="L858" s="468"/>
      <c r="M858" s="468"/>
      <c r="N858" s="79"/>
    </row>
    <row r="859" spans="4:14" ht="14.4" customHeight="1" x14ac:dyDescent="0.3">
      <c r="D859" s="79"/>
      <c r="E859" s="79"/>
      <c r="F859" s="79"/>
      <c r="G859" s="79"/>
      <c r="H859" s="79"/>
      <c r="I859" s="79"/>
      <c r="J859" s="79"/>
      <c r="K859" s="468"/>
      <c r="L859" s="468"/>
      <c r="M859" s="468"/>
      <c r="N859" s="79"/>
    </row>
    <row r="860" spans="4:14" ht="14.4" customHeight="1" x14ac:dyDescent="0.3">
      <c r="D860" s="79"/>
      <c r="E860" s="79"/>
      <c r="F860" s="79"/>
      <c r="G860" s="79"/>
      <c r="H860" s="79"/>
      <c r="I860" s="79"/>
      <c r="J860" s="79"/>
      <c r="K860" s="468"/>
      <c r="L860" s="468"/>
      <c r="M860" s="468"/>
      <c r="N860" s="79"/>
    </row>
    <row r="861" spans="4:14" ht="14.4" customHeight="1" x14ac:dyDescent="0.3">
      <c r="D861" s="79"/>
      <c r="E861" s="79"/>
      <c r="F861" s="79"/>
      <c r="G861" s="79"/>
      <c r="H861" s="79"/>
      <c r="I861" s="79"/>
      <c r="J861" s="79"/>
      <c r="K861" s="468"/>
      <c r="L861" s="468"/>
      <c r="M861" s="468"/>
      <c r="N861" s="79"/>
    </row>
    <row r="862" spans="4:14" ht="14.4" customHeight="1" x14ac:dyDescent="0.3">
      <c r="D862" s="79"/>
      <c r="E862" s="79"/>
      <c r="F862" s="79"/>
      <c r="G862" s="79"/>
      <c r="H862" s="79"/>
      <c r="I862" s="79"/>
      <c r="J862" s="79"/>
      <c r="K862" s="468"/>
      <c r="L862" s="468"/>
      <c r="M862" s="468"/>
      <c r="N862" s="79"/>
    </row>
    <row r="863" spans="4:14" ht="14.4" customHeight="1" x14ac:dyDescent="0.3">
      <c r="D863" s="79"/>
      <c r="E863" s="79"/>
      <c r="F863" s="79"/>
      <c r="G863" s="79"/>
      <c r="H863" s="79"/>
      <c r="I863" s="79"/>
      <c r="J863" s="79"/>
      <c r="K863" s="468"/>
      <c r="L863" s="468"/>
      <c r="M863" s="468"/>
      <c r="N863" s="79"/>
    </row>
    <row r="864" spans="4:14" ht="14.4" customHeight="1" x14ac:dyDescent="0.3">
      <c r="D864" s="79"/>
      <c r="E864" s="79"/>
      <c r="F864" s="79"/>
      <c r="G864" s="79"/>
      <c r="H864" s="79"/>
      <c r="I864" s="79"/>
      <c r="J864" s="79"/>
      <c r="K864" s="468"/>
      <c r="L864" s="468"/>
      <c r="M864" s="468"/>
      <c r="N864" s="79"/>
    </row>
    <row r="865" spans="4:14" ht="14.4" customHeight="1" x14ac:dyDescent="0.3">
      <c r="D865" s="79"/>
      <c r="E865" s="79"/>
      <c r="F865" s="79"/>
      <c r="G865" s="79"/>
      <c r="H865" s="79"/>
      <c r="I865" s="79"/>
      <c r="J865" s="79"/>
      <c r="K865" s="468"/>
      <c r="L865" s="468"/>
      <c r="M865" s="468"/>
      <c r="N865" s="79"/>
    </row>
    <row r="866" spans="4:14" ht="14.4" customHeight="1" x14ac:dyDescent="0.3">
      <c r="D866" s="79"/>
      <c r="E866" s="79"/>
      <c r="F866" s="79"/>
      <c r="G866" s="79"/>
      <c r="H866" s="79"/>
      <c r="I866" s="79"/>
      <c r="J866" s="79"/>
      <c r="K866" s="468"/>
      <c r="L866" s="468"/>
      <c r="M866" s="468"/>
      <c r="N866" s="79"/>
    </row>
    <row r="867" spans="4:14" ht="14.4" customHeight="1" x14ac:dyDescent="0.3">
      <c r="D867" s="79"/>
      <c r="E867" s="79"/>
      <c r="F867" s="79"/>
      <c r="G867" s="79"/>
      <c r="H867" s="79"/>
      <c r="I867" s="79"/>
      <c r="J867" s="79"/>
      <c r="K867" s="468"/>
      <c r="L867" s="468"/>
      <c r="M867" s="468"/>
      <c r="N867" s="79"/>
    </row>
    <row r="868" spans="4:14" ht="14.4" customHeight="1" x14ac:dyDescent="0.3">
      <c r="D868" s="79"/>
      <c r="E868" s="79"/>
      <c r="F868" s="79"/>
      <c r="G868" s="79"/>
      <c r="H868" s="79"/>
      <c r="I868" s="79"/>
      <c r="J868" s="79"/>
      <c r="K868" s="468"/>
      <c r="L868" s="468"/>
      <c r="M868" s="468"/>
      <c r="N868" s="79"/>
    </row>
    <row r="869" spans="4:14" ht="14.4" customHeight="1" x14ac:dyDescent="0.3">
      <c r="D869" s="79"/>
      <c r="E869" s="79"/>
      <c r="F869" s="79"/>
      <c r="G869" s="79"/>
      <c r="H869" s="79"/>
      <c r="I869" s="79"/>
      <c r="J869" s="79"/>
      <c r="K869" s="468"/>
      <c r="L869" s="468"/>
      <c r="M869" s="468"/>
      <c r="N869" s="79"/>
    </row>
    <row r="870" spans="4:14" ht="14.4" customHeight="1" x14ac:dyDescent="0.3">
      <c r="D870" s="79"/>
      <c r="E870" s="79"/>
      <c r="F870" s="79"/>
      <c r="G870" s="79"/>
      <c r="H870" s="79"/>
      <c r="I870" s="79"/>
      <c r="J870" s="79"/>
      <c r="K870" s="468"/>
      <c r="L870" s="468"/>
      <c r="M870" s="468"/>
      <c r="N870" s="79"/>
    </row>
    <row r="871" spans="4:14" ht="14.4" customHeight="1" x14ac:dyDescent="0.3">
      <c r="D871" s="79"/>
      <c r="E871" s="79"/>
      <c r="F871" s="79"/>
      <c r="G871" s="79"/>
      <c r="H871" s="79"/>
      <c r="I871" s="79"/>
      <c r="J871" s="79"/>
      <c r="K871" s="468"/>
      <c r="L871" s="468"/>
      <c r="M871" s="468"/>
      <c r="N871" s="79"/>
    </row>
    <row r="872" spans="4:14" ht="14.4" customHeight="1" x14ac:dyDescent="0.3">
      <c r="D872" s="79"/>
      <c r="E872" s="79"/>
      <c r="F872" s="79"/>
      <c r="G872" s="79"/>
      <c r="H872" s="79"/>
      <c r="I872" s="79"/>
      <c r="J872" s="79"/>
      <c r="K872" s="468"/>
      <c r="L872" s="468"/>
      <c r="M872" s="468"/>
      <c r="N872" s="79"/>
    </row>
    <row r="873" spans="4:14" ht="14.4" customHeight="1" x14ac:dyDescent="0.3">
      <c r="D873" s="79"/>
      <c r="E873" s="79"/>
      <c r="F873" s="79"/>
      <c r="G873" s="79"/>
      <c r="H873" s="79"/>
      <c r="I873" s="79"/>
      <c r="J873" s="79"/>
      <c r="K873" s="468"/>
      <c r="L873" s="468"/>
      <c r="M873" s="468"/>
      <c r="N873" s="79"/>
    </row>
    <row r="874" spans="4:14" ht="14.4" customHeight="1" x14ac:dyDescent="0.3">
      <c r="D874" s="79"/>
      <c r="E874" s="79"/>
      <c r="F874" s="79"/>
      <c r="G874" s="79"/>
      <c r="H874" s="79"/>
      <c r="I874" s="79"/>
      <c r="J874" s="79"/>
      <c r="K874" s="468"/>
      <c r="L874" s="468"/>
      <c r="M874" s="468"/>
      <c r="N874" s="79"/>
    </row>
    <row r="875" spans="4:14" ht="14.4" customHeight="1" x14ac:dyDescent="0.3">
      <c r="D875" s="79"/>
      <c r="E875" s="79"/>
      <c r="F875" s="79"/>
      <c r="G875" s="79"/>
      <c r="H875" s="79"/>
      <c r="I875" s="79"/>
      <c r="J875" s="79"/>
      <c r="K875" s="468"/>
      <c r="L875" s="468"/>
      <c r="M875" s="468"/>
      <c r="N875" s="79"/>
    </row>
    <row r="876" spans="4:14" ht="14.4" customHeight="1" x14ac:dyDescent="0.3">
      <c r="D876" s="79"/>
      <c r="E876" s="79"/>
      <c r="F876" s="79"/>
      <c r="G876" s="79"/>
      <c r="H876" s="79"/>
      <c r="I876" s="79"/>
      <c r="J876" s="79"/>
      <c r="K876" s="468"/>
      <c r="L876" s="468"/>
      <c r="M876" s="468"/>
      <c r="N876" s="79"/>
    </row>
    <row r="877" spans="4:14" ht="14.4" customHeight="1" x14ac:dyDescent="0.3">
      <c r="D877" s="79"/>
      <c r="E877" s="79"/>
      <c r="F877" s="79"/>
      <c r="G877" s="79"/>
      <c r="H877" s="79"/>
      <c r="I877" s="79"/>
      <c r="J877" s="79"/>
      <c r="K877" s="468"/>
      <c r="L877" s="468"/>
      <c r="M877" s="468"/>
      <c r="N877" s="79"/>
    </row>
    <row r="878" spans="4:14" ht="14.4" customHeight="1" x14ac:dyDescent="0.3">
      <c r="D878" s="79"/>
      <c r="E878" s="79"/>
      <c r="F878" s="79"/>
      <c r="G878" s="79"/>
      <c r="H878" s="79"/>
      <c r="I878" s="79"/>
      <c r="J878" s="79"/>
      <c r="K878" s="468"/>
      <c r="L878" s="468"/>
      <c r="M878" s="468"/>
      <c r="N878" s="79"/>
    </row>
    <row r="879" spans="4:14" ht="14.4" customHeight="1" x14ac:dyDescent="0.3">
      <c r="D879" s="79"/>
      <c r="E879" s="79"/>
      <c r="F879" s="79"/>
      <c r="G879" s="79"/>
      <c r="H879" s="79"/>
      <c r="I879" s="79"/>
      <c r="J879" s="79"/>
      <c r="K879" s="468"/>
      <c r="L879" s="468"/>
      <c r="M879" s="468"/>
      <c r="N879" s="79"/>
    </row>
    <row r="880" spans="4:14" ht="14.4" customHeight="1" x14ac:dyDescent="0.3">
      <c r="D880" s="79"/>
      <c r="E880" s="79"/>
      <c r="F880" s="79"/>
      <c r="G880" s="79"/>
      <c r="H880" s="79"/>
      <c r="I880" s="79"/>
      <c r="J880" s="79"/>
      <c r="K880" s="468"/>
      <c r="L880" s="468"/>
      <c r="M880" s="468"/>
      <c r="N880" s="79"/>
    </row>
    <row r="881" spans="4:14" ht="14.4" customHeight="1" x14ac:dyDescent="0.3">
      <c r="D881" s="79"/>
      <c r="E881" s="79"/>
      <c r="F881" s="79"/>
      <c r="G881" s="79"/>
      <c r="H881" s="79"/>
      <c r="I881" s="79"/>
      <c r="J881" s="79"/>
      <c r="K881" s="468"/>
      <c r="L881" s="468"/>
      <c r="M881" s="468"/>
      <c r="N881" s="79"/>
    </row>
  </sheetData>
  <autoFilter ref="A4:M881"/>
  <mergeCells count="11">
    <mergeCell ref="A8:M8"/>
    <mergeCell ref="F13:I13"/>
    <mergeCell ref="A11:A12"/>
    <mergeCell ref="B11:B12"/>
    <mergeCell ref="J11:J12"/>
    <mergeCell ref="F11:I12"/>
    <mergeCell ref="E11:E12"/>
    <mergeCell ref="D11:D12"/>
    <mergeCell ref="C11:C12"/>
    <mergeCell ref="K11:K12"/>
    <mergeCell ref="L11:M11"/>
  </mergeCells>
  <printOptions horizontalCentered="1"/>
  <pageMargins left="1.1811023622047245" right="0.39370078740157483" top="0.78740157480314965" bottom="0.78740157480314965" header="0.31496062992125984" footer="0.31496062992125984"/>
  <pageSetup paperSize="9" scale="66" fitToHeight="0" orientation="portrait" blackAndWhite="1" r:id="rId1"/>
  <headerFooter differentFirst="1">
    <oddHeader>&amp;C&amp;"Times New Roman,обычный"&amp;12&amp;P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S637"/>
  <sheetViews>
    <sheetView zoomScale="80" zoomScaleNormal="80" zoomScaleSheetLayoutView="70" workbookViewId="0">
      <selection activeCell="Q17" sqref="Q17"/>
    </sheetView>
  </sheetViews>
  <sheetFormatPr defaultColWidth="8.88671875" defaultRowHeight="14.4" x14ac:dyDescent="0.3"/>
  <cols>
    <col min="1" max="1" width="4.6640625" style="6" customWidth="1"/>
    <col min="2" max="2" width="54.44140625" style="6" customWidth="1"/>
    <col min="3" max="3" width="5.5546875" style="6" customWidth="1"/>
    <col min="4" max="4" width="3.6640625" style="6" customWidth="1"/>
    <col min="5" max="5" width="4" style="6" customWidth="1"/>
    <col min="6" max="6" width="3.33203125" style="6" customWidth="1"/>
    <col min="7" max="7" width="2.44140625" style="6" customWidth="1"/>
    <col min="8" max="8" width="2.6640625" style="6" customWidth="1"/>
    <col min="9" max="9" width="7.6640625" style="6" customWidth="1"/>
    <col min="10" max="10" width="5" style="6" customWidth="1"/>
    <col min="11" max="11" width="14" style="6" hidden="1" customWidth="1"/>
    <col min="12" max="12" width="12.6640625" style="6" customWidth="1"/>
    <col min="13" max="14" width="13.33203125" style="35" customWidth="1"/>
    <col min="15" max="15" width="8.88671875" style="6" customWidth="1"/>
    <col min="16" max="16" width="12.44140625" style="6" bestFit="1" customWidth="1"/>
    <col min="17" max="17" width="9.33203125" style="6" bestFit="1" customWidth="1"/>
    <col min="18" max="18" width="12.44140625" style="6" bestFit="1" customWidth="1"/>
    <col min="19" max="19" width="9.33203125" style="6" bestFit="1" customWidth="1"/>
    <col min="20" max="16384" width="8.88671875" style="6"/>
  </cols>
  <sheetData>
    <row r="1" spans="1:14" ht="18" x14ac:dyDescent="0.35">
      <c r="N1" s="158" t="s">
        <v>487</v>
      </c>
    </row>
    <row r="2" spans="1:14" ht="18" x14ac:dyDescent="0.35">
      <c r="M2" s="117"/>
      <c r="N2" s="158" t="s">
        <v>697</v>
      </c>
    </row>
    <row r="4" spans="1:14" ht="18" x14ac:dyDescent="0.35">
      <c r="N4" s="158" t="s">
        <v>488</v>
      </c>
    </row>
    <row r="5" spans="1:14" ht="18" x14ac:dyDescent="0.35">
      <c r="M5" s="117"/>
      <c r="N5" s="158" t="s">
        <v>630</v>
      </c>
    </row>
    <row r="6" spans="1:14" x14ac:dyDescent="0.3">
      <c r="M6" s="117"/>
      <c r="N6" s="117"/>
    </row>
    <row r="7" spans="1:14" x14ac:dyDescent="0.3">
      <c r="M7" s="117"/>
      <c r="N7" s="117"/>
    </row>
    <row r="8" spans="1:14" x14ac:dyDescent="0.3">
      <c r="M8" s="117"/>
      <c r="N8" s="117"/>
    </row>
    <row r="9" spans="1:14" ht="17.399999999999999" customHeight="1" x14ac:dyDescent="0.3">
      <c r="A9" s="714" t="s">
        <v>574</v>
      </c>
      <c r="B9" s="714"/>
      <c r="C9" s="714"/>
      <c r="D9" s="714"/>
      <c r="E9" s="714"/>
      <c r="F9" s="714"/>
      <c r="G9" s="714"/>
      <c r="H9" s="714"/>
      <c r="I9" s="714"/>
      <c r="J9" s="714"/>
      <c r="K9" s="714"/>
      <c r="L9" s="714"/>
      <c r="M9" s="714"/>
      <c r="N9" s="714"/>
    </row>
    <row r="10" spans="1:14" ht="17.399999999999999" customHeight="1" x14ac:dyDescent="0.3">
      <c r="A10" s="675"/>
      <c r="B10" s="675"/>
      <c r="C10" s="675"/>
      <c r="D10" s="675"/>
      <c r="E10" s="675"/>
      <c r="F10" s="675"/>
      <c r="G10" s="675"/>
      <c r="H10" s="675"/>
      <c r="I10" s="675"/>
      <c r="J10" s="675"/>
      <c r="K10" s="675"/>
      <c r="L10" s="675"/>
      <c r="M10" s="675"/>
      <c r="N10" s="675"/>
    </row>
    <row r="11" spans="1:14" ht="17.399999999999999" customHeight="1" x14ac:dyDescent="0.3">
      <c r="A11" s="675"/>
      <c r="B11" s="675"/>
      <c r="C11" s="675"/>
      <c r="D11" s="675"/>
      <c r="E11" s="675"/>
      <c r="F11" s="675"/>
      <c r="G11" s="675"/>
      <c r="H11" s="675"/>
      <c r="I11" s="675"/>
      <c r="J11" s="675"/>
      <c r="K11" s="675"/>
      <c r="L11" s="675"/>
      <c r="M11" s="675"/>
      <c r="N11" s="675"/>
    </row>
    <row r="12" spans="1:14" ht="18" x14ac:dyDescent="0.35">
      <c r="A12" s="7"/>
      <c r="B12" s="8"/>
      <c r="C12" s="9"/>
      <c r="D12" s="9"/>
      <c r="E12" s="9"/>
      <c r="F12" s="9"/>
      <c r="G12" s="7"/>
      <c r="H12" s="10"/>
      <c r="I12" s="11"/>
      <c r="J12" s="12"/>
      <c r="K12" s="12"/>
      <c r="L12" s="12"/>
      <c r="M12" s="117"/>
      <c r="N12" s="118" t="s">
        <v>21</v>
      </c>
    </row>
    <row r="13" spans="1:14" ht="18" customHeight="1" x14ac:dyDescent="0.3">
      <c r="A13" s="734" t="s">
        <v>22</v>
      </c>
      <c r="B13" s="735" t="s">
        <v>23</v>
      </c>
      <c r="C13" s="736" t="s">
        <v>24</v>
      </c>
      <c r="D13" s="736" t="s">
        <v>25</v>
      </c>
      <c r="E13" s="736" t="s">
        <v>26</v>
      </c>
      <c r="F13" s="737" t="s">
        <v>27</v>
      </c>
      <c r="G13" s="736"/>
      <c r="H13" s="736"/>
      <c r="I13" s="736"/>
      <c r="J13" s="736" t="s">
        <v>28</v>
      </c>
      <c r="K13" s="740" t="s">
        <v>602</v>
      </c>
      <c r="L13" s="738" t="s">
        <v>527</v>
      </c>
      <c r="M13" s="738"/>
      <c r="N13" s="738" t="s">
        <v>568</v>
      </c>
    </row>
    <row r="14" spans="1:14" ht="36" customHeight="1" x14ac:dyDescent="0.35">
      <c r="A14" s="734"/>
      <c r="B14" s="735"/>
      <c r="C14" s="736"/>
      <c r="D14" s="736"/>
      <c r="E14" s="736"/>
      <c r="F14" s="737"/>
      <c r="G14" s="736"/>
      <c r="H14" s="736"/>
      <c r="I14" s="736"/>
      <c r="J14" s="736"/>
      <c r="K14" s="741"/>
      <c r="L14" s="636" t="s">
        <v>603</v>
      </c>
      <c r="M14" s="637" t="s">
        <v>628</v>
      </c>
      <c r="N14" s="739"/>
    </row>
    <row r="15" spans="1:14" ht="18" x14ac:dyDescent="0.35">
      <c r="A15" s="13">
        <v>1</v>
      </c>
      <c r="B15" s="14">
        <v>2</v>
      </c>
      <c r="C15" s="15" t="s">
        <v>29</v>
      </c>
      <c r="D15" s="15" t="s">
        <v>30</v>
      </c>
      <c r="E15" s="15" t="s">
        <v>31</v>
      </c>
      <c r="F15" s="716" t="s">
        <v>32</v>
      </c>
      <c r="G15" s="716"/>
      <c r="H15" s="716"/>
      <c r="I15" s="717"/>
      <c r="J15" s="15" t="s">
        <v>33</v>
      </c>
      <c r="K15" s="15"/>
      <c r="L15" s="15" t="s">
        <v>629</v>
      </c>
      <c r="M15" s="36">
        <v>9</v>
      </c>
      <c r="N15" s="36">
        <v>10</v>
      </c>
    </row>
    <row r="16" spans="1:14" ht="18" x14ac:dyDescent="0.3">
      <c r="A16" s="16">
        <v>1</v>
      </c>
      <c r="B16" s="119" t="s">
        <v>199</v>
      </c>
      <c r="C16" s="18"/>
      <c r="D16" s="19"/>
      <c r="E16" s="19"/>
      <c r="F16" s="21"/>
      <c r="G16" s="21"/>
      <c r="H16" s="21"/>
      <c r="I16" s="22"/>
      <c r="J16" s="19"/>
      <c r="K16" s="112">
        <f>K17+K164+K198+K208+K396+K452+K504+K536+K569+K267</f>
        <v>2056898.6999999997</v>
      </c>
      <c r="L16" s="112">
        <f>L17+L164+L198+L208+L396+L452+L504+L536+L569+L267</f>
        <v>22661.700000000004</v>
      </c>
      <c r="M16" s="112">
        <f>M17+M164+M198+M208+M396+M452+M504+M536+M569+M267</f>
        <v>2079560.3999999997</v>
      </c>
      <c r="N16" s="112">
        <f>N17+N164+N198+N208+N396+N452+N504+N536+N569+N267</f>
        <v>2148415</v>
      </c>
    </row>
    <row r="17" spans="1:14" s="120" customFormat="1" ht="34.799999999999997" x14ac:dyDescent="0.3">
      <c r="A17" s="115">
        <v>1</v>
      </c>
      <c r="B17" s="543" t="s">
        <v>0</v>
      </c>
      <c r="C17" s="23" t="s">
        <v>1</v>
      </c>
      <c r="D17" s="24"/>
      <c r="E17" s="24"/>
      <c r="F17" s="25"/>
      <c r="G17" s="26"/>
      <c r="H17" s="26"/>
      <c r="I17" s="27"/>
      <c r="J17" s="24"/>
      <c r="K17" s="37">
        <f>K18+K84+K112+K150+K143</f>
        <v>220509.39999999997</v>
      </c>
      <c r="L17" s="37">
        <f>L18+L84+L112+L150+L143</f>
        <v>0</v>
      </c>
      <c r="M17" s="37">
        <f>M18+M84+M112+M150+M143</f>
        <v>220509.39999999997</v>
      </c>
      <c r="N17" s="37">
        <f>N18+N84+N112+N150+N143</f>
        <v>211840.69999999998</v>
      </c>
    </row>
    <row r="18" spans="1:14" s="121" customFormat="1" ht="18" x14ac:dyDescent="0.35">
      <c r="A18" s="16"/>
      <c r="B18" s="497" t="s">
        <v>35</v>
      </c>
      <c r="C18" s="28" t="s">
        <v>1</v>
      </c>
      <c r="D18" s="15" t="s">
        <v>36</v>
      </c>
      <c r="E18" s="15"/>
      <c r="F18" s="676"/>
      <c r="G18" s="677"/>
      <c r="H18" s="677"/>
      <c r="I18" s="678"/>
      <c r="J18" s="15"/>
      <c r="K18" s="29">
        <f>K19+K25+K49+K43+K54</f>
        <v>170538.8</v>
      </c>
      <c r="L18" s="29">
        <f t="shared" ref="L18" si="0">L19+L25+L49+L43+L54</f>
        <v>0</v>
      </c>
      <c r="M18" s="29">
        <f>M19+M25+M49+M43+M54</f>
        <v>170538.8</v>
      </c>
      <c r="N18" s="29">
        <f>N19+N25+N49+N43+N54</f>
        <v>161448.5</v>
      </c>
    </row>
    <row r="19" spans="1:14" s="116" customFormat="1" ht="54" x14ac:dyDescent="0.35">
      <c r="A19" s="16"/>
      <c r="B19" s="497" t="s">
        <v>37</v>
      </c>
      <c r="C19" s="28" t="s">
        <v>1</v>
      </c>
      <c r="D19" s="15" t="s">
        <v>36</v>
      </c>
      <c r="E19" s="15" t="s">
        <v>38</v>
      </c>
      <c r="F19" s="676"/>
      <c r="G19" s="677"/>
      <c r="H19" s="677"/>
      <c r="I19" s="678"/>
      <c r="J19" s="15"/>
      <c r="K19" s="29">
        <f t="shared" ref="K19:N23" si="1">K20</f>
        <v>2716.7</v>
      </c>
      <c r="L19" s="29">
        <f t="shared" si="1"/>
        <v>0</v>
      </c>
      <c r="M19" s="29">
        <f t="shared" si="1"/>
        <v>2716.7</v>
      </c>
      <c r="N19" s="29">
        <f t="shared" si="1"/>
        <v>2716.7</v>
      </c>
    </row>
    <row r="20" spans="1:14" s="116" customFormat="1" ht="54" x14ac:dyDescent="0.35">
      <c r="A20" s="16"/>
      <c r="B20" s="497" t="s">
        <v>39</v>
      </c>
      <c r="C20" s="28" t="s">
        <v>1</v>
      </c>
      <c r="D20" s="15" t="s">
        <v>36</v>
      </c>
      <c r="E20" s="15" t="s">
        <v>38</v>
      </c>
      <c r="F20" s="676" t="s">
        <v>40</v>
      </c>
      <c r="G20" s="677" t="s">
        <v>41</v>
      </c>
      <c r="H20" s="677" t="s">
        <v>42</v>
      </c>
      <c r="I20" s="678" t="s">
        <v>43</v>
      </c>
      <c r="J20" s="15"/>
      <c r="K20" s="29">
        <f t="shared" si="1"/>
        <v>2716.7</v>
      </c>
      <c r="L20" s="29">
        <f t="shared" si="1"/>
        <v>0</v>
      </c>
      <c r="M20" s="29">
        <f t="shared" si="1"/>
        <v>2716.7</v>
      </c>
      <c r="N20" s="29">
        <f t="shared" si="1"/>
        <v>2716.7</v>
      </c>
    </row>
    <row r="21" spans="1:14" s="116" customFormat="1" ht="36" x14ac:dyDescent="0.35">
      <c r="A21" s="16"/>
      <c r="B21" s="497" t="s">
        <v>335</v>
      </c>
      <c r="C21" s="28" t="s">
        <v>1</v>
      </c>
      <c r="D21" s="15" t="s">
        <v>36</v>
      </c>
      <c r="E21" s="15" t="s">
        <v>38</v>
      </c>
      <c r="F21" s="676" t="s">
        <v>40</v>
      </c>
      <c r="G21" s="677" t="s">
        <v>44</v>
      </c>
      <c r="H21" s="677" t="s">
        <v>42</v>
      </c>
      <c r="I21" s="678" t="s">
        <v>43</v>
      </c>
      <c r="J21" s="15"/>
      <c r="K21" s="29">
        <f t="shared" si="1"/>
        <v>2716.7</v>
      </c>
      <c r="L21" s="29">
        <f t="shared" si="1"/>
        <v>0</v>
      </c>
      <c r="M21" s="29">
        <f t="shared" si="1"/>
        <v>2716.7</v>
      </c>
      <c r="N21" s="29">
        <f t="shared" si="1"/>
        <v>2716.7</v>
      </c>
    </row>
    <row r="22" spans="1:14" s="116" customFormat="1" ht="54" x14ac:dyDescent="0.35">
      <c r="A22" s="16"/>
      <c r="B22" s="497" t="s">
        <v>45</v>
      </c>
      <c r="C22" s="28" t="s">
        <v>1</v>
      </c>
      <c r="D22" s="15" t="s">
        <v>36</v>
      </c>
      <c r="E22" s="15" t="s">
        <v>38</v>
      </c>
      <c r="F22" s="676" t="s">
        <v>40</v>
      </c>
      <c r="G22" s="677" t="s">
        <v>44</v>
      </c>
      <c r="H22" s="677" t="s">
        <v>36</v>
      </c>
      <c r="I22" s="678" t="s">
        <v>43</v>
      </c>
      <c r="J22" s="15"/>
      <c r="K22" s="29">
        <f t="shared" si="1"/>
        <v>2716.7</v>
      </c>
      <c r="L22" s="29">
        <f t="shared" si="1"/>
        <v>0</v>
      </c>
      <c r="M22" s="29">
        <f t="shared" si="1"/>
        <v>2716.7</v>
      </c>
      <c r="N22" s="29">
        <f t="shared" si="1"/>
        <v>2716.7</v>
      </c>
    </row>
    <row r="23" spans="1:14" s="116" customFormat="1" ht="36" x14ac:dyDescent="0.35">
      <c r="A23" s="16"/>
      <c r="B23" s="497" t="s">
        <v>46</v>
      </c>
      <c r="C23" s="28" t="s">
        <v>1</v>
      </c>
      <c r="D23" s="15" t="s">
        <v>36</v>
      </c>
      <c r="E23" s="15" t="s">
        <v>38</v>
      </c>
      <c r="F23" s="676" t="s">
        <v>40</v>
      </c>
      <c r="G23" s="677" t="s">
        <v>44</v>
      </c>
      <c r="H23" s="677" t="s">
        <v>36</v>
      </c>
      <c r="I23" s="678" t="s">
        <v>47</v>
      </c>
      <c r="J23" s="15"/>
      <c r="K23" s="29">
        <f t="shared" si="1"/>
        <v>2716.7</v>
      </c>
      <c r="L23" s="29">
        <f t="shared" si="1"/>
        <v>0</v>
      </c>
      <c r="M23" s="29">
        <f t="shared" si="1"/>
        <v>2716.7</v>
      </c>
      <c r="N23" s="29">
        <f t="shared" si="1"/>
        <v>2716.7</v>
      </c>
    </row>
    <row r="24" spans="1:14" s="116" customFormat="1" ht="108" x14ac:dyDescent="0.35">
      <c r="A24" s="16"/>
      <c r="B24" s="497" t="s">
        <v>48</v>
      </c>
      <c r="C24" s="28" t="s">
        <v>1</v>
      </c>
      <c r="D24" s="15" t="s">
        <v>36</v>
      </c>
      <c r="E24" s="15" t="s">
        <v>38</v>
      </c>
      <c r="F24" s="676" t="s">
        <v>40</v>
      </c>
      <c r="G24" s="677" t="s">
        <v>44</v>
      </c>
      <c r="H24" s="677" t="s">
        <v>36</v>
      </c>
      <c r="I24" s="678" t="s">
        <v>47</v>
      </c>
      <c r="J24" s="15" t="s">
        <v>49</v>
      </c>
      <c r="K24" s="29">
        <v>2716.7</v>
      </c>
      <c r="L24" s="29">
        <f>M24-K24</f>
        <v>0</v>
      </c>
      <c r="M24" s="29">
        <v>2716.7</v>
      </c>
      <c r="N24" s="29">
        <v>2716.7</v>
      </c>
    </row>
    <row r="25" spans="1:14" s="121" customFormat="1" ht="72" x14ac:dyDescent="0.35">
      <c r="A25" s="16"/>
      <c r="B25" s="497" t="s">
        <v>605</v>
      </c>
      <c r="C25" s="28" t="s">
        <v>1</v>
      </c>
      <c r="D25" s="15" t="s">
        <v>36</v>
      </c>
      <c r="E25" s="15" t="s">
        <v>50</v>
      </c>
      <c r="F25" s="676"/>
      <c r="G25" s="677"/>
      <c r="H25" s="677"/>
      <c r="I25" s="678"/>
      <c r="J25" s="15"/>
      <c r="K25" s="29">
        <f t="shared" ref="K25:N27" si="2">K26</f>
        <v>87997.5</v>
      </c>
      <c r="L25" s="29">
        <f t="shared" si="2"/>
        <v>-108</v>
      </c>
      <c r="M25" s="29">
        <f t="shared" si="2"/>
        <v>87889.5</v>
      </c>
      <c r="N25" s="29">
        <f t="shared" si="2"/>
        <v>87889.5</v>
      </c>
    </row>
    <row r="26" spans="1:14" s="121" customFormat="1" ht="54" x14ac:dyDescent="0.35">
      <c r="A26" s="16"/>
      <c r="B26" s="497" t="s">
        <v>51</v>
      </c>
      <c r="C26" s="28" t="s">
        <v>1</v>
      </c>
      <c r="D26" s="15" t="s">
        <v>36</v>
      </c>
      <c r="E26" s="15" t="s">
        <v>50</v>
      </c>
      <c r="F26" s="676" t="s">
        <v>40</v>
      </c>
      <c r="G26" s="677" t="s">
        <v>41</v>
      </c>
      <c r="H26" s="677" t="s">
        <v>42</v>
      </c>
      <c r="I26" s="678" t="s">
        <v>43</v>
      </c>
      <c r="J26" s="15"/>
      <c r="K26" s="29">
        <f t="shared" si="2"/>
        <v>87997.5</v>
      </c>
      <c r="L26" s="29">
        <f t="shared" si="2"/>
        <v>-108</v>
      </c>
      <c r="M26" s="29">
        <f t="shared" si="2"/>
        <v>87889.5</v>
      </c>
      <c r="N26" s="29">
        <f t="shared" si="2"/>
        <v>87889.5</v>
      </c>
    </row>
    <row r="27" spans="1:14" s="12" customFormat="1" ht="36" x14ac:dyDescent="0.35">
      <c r="A27" s="16"/>
      <c r="B27" s="497" t="s">
        <v>335</v>
      </c>
      <c r="C27" s="28" t="s">
        <v>1</v>
      </c>
      <c r="D27" s="15" t="s">
        <v>36</v>
      </c>
      <c r="E27" s="15" t="s">
        <v>50</v>
      </c>
      <c r="F27" s="676" t="s">
        <v>40</v>
      </c>
      <c r="G27" s="677" t="s">
        <v>44</v>
      </c>
      <c r="H27" s="677" t="s">
        <v>42</v>
      </c>
      <c r="I27" s="678" t="s">
        <v>43</v>
      </c>
      <c r="J27" s="15"/>
      <c r="K27" s="29">
        <f>K28</f>
        <v>87997.5</v>
      </c>
      <c r="L27" s="29">
        <f t="shared" si="2"/>
        <v>-108</v>
      </c>
      <c r="M27" s="29">
        <f>M28</f>
        <v>87889.5</v>
      </c>
      <c r="N27" s="29">
        <f>N28</f>
        <v>87889.5</v>
      </c>
    </row>
    <row r="28" spans="1:14" s="12" customFormat="1" ht="36" x14ac:dyDescent="0.35">
      <c r="A28" s="16"/>
      <c r="B28" s="497" t="s">
        <v>52</v>
      </c>
      <c r="C28" s="28" t="s">
        <v>1</v>
      </c>
      <c r="D28" s="15" t="s">
        <v>36</v>
      </c>
      <c r="E28" s="15" t="s">
        <v>50</v>
      </c>
      <c r="F28" s="676" t="s">
        <v>40</v>
      </c>
      <c r="G28" s="677" t="s">
        <v>44</v>
      </c>
      <c r="H28" s="677" t="s">
        <v>38</v>
      </c>
      <c r="I28" s="678" t="s">
        <v>43</v>
      </c>
      <c r="J28" s="15"/>
      <c r="K28" s="29">
        <f>K29+K35+K37+K33+K40</f>
        <v>87997.5</v>
      </c>
      <c r="L28" s="29">
        <f t="shared" ref="L28" si="3">L29+L35+L37+L33+L40</f>
        <v>-108</v>
      </c>
      <c r="M28" s="29">
        <f>M29+M35+M37+M33+M40</f>
        <v>87889.5</v>
      </c>
      <c r="N28" s="29">
        <f>N29+N35+N37+N33+N40</f>
        <v>87889.5</v>
      </c>
    </row>
    <row r="29" spans="1:14" s="116" customFormat="1" ht="36" x14ac:dyDescent="0.35">
      <c r="A29" s="16"/>
      <c r="B29" s="497" t="s">
        <v>46</v>
      </c>
      <c r="C29" s="28" t="s">
        <v>1</v>
      </c>
      <c r="D29" s="15" t="s">
        <v>36</v>
      </c>
      <c r="E29" s="15" t="s">
        <v>50</v>
      </c>
      <c r="F29" s="676" t="s">
        <v>40</v>
      </c>
      <c r="G29" s="677" t="s">
        <v>44</v>
      </c>
      <c r="H29" s="677" t="s">
        <v>38</v>
      </c>
      <c r="I29" s="678" t="s">
        <v>47</v>
      </c>
      <c r="J29" s="15"/>
      <c r="K29" s="29">
        <f>K30+K31+K32</f>
        <v>82165.5</v>
      </c>
      <c r="L29" s="29">
        <f t="shared" ref="L29" si="4">L30+L31+L32</f>
        <v>-108</v>
      </c>
      <c r="M29" s="29">
        <f>M30+M31+M32</f>
        <v>82057.5</v>
      </c>
      <c r="N29" s="29">
        <f>N30+N31+N32</f>
        <v>82057.5</v>
      </c>
    </row>
    <row r="30" spans="1:14" s="116" customFormat="1" ht="108" x14ac:dyDescent="0.35">
      <c r="A30" s="16"/>
      <c r="B30" s="497" t="s">
        <v>48</v>
      </c>
      <c r="C30" s="28" t="s">
        <v>1</v>
      </c>
      <c r="D30" s="15" t="s">
        <v>36</v>
      </c>
      <c r="E30" s="15" t="s">
        <v>50</v>
      </c>
      <c r="F30" s="676" t="s">
        <v>40</v>
      </c>
      <c r="G30" s="677" t="s">
        <v>44</v>
      </c>
      <c r="H30" s="677" t="s">
        <v>38</v>
      </c>
      <c r="I30" s="678" t="s">
        <v>47</v>
      </c>
      <c r="J30" s="15" t="s">
        <v>49</v>
      </c>
      <c r="K30" s="29">
        <v>81048.399999999994</v>
      </c>
      <c r="L30" s="29">
        <f>M30-K30</f>
        <v>0</v>
      </c>
      <c r="M30" s="29">
        <v>81048.399999999994</v>
      </c>
      <c r="N30" s="29">
        <v>81048.399999999994</v>
      </c>
    </row>
    <row r="31" spans="1:14" s="12" customFormat="1" ht="57" customHeight="1" x14ac:dyDescent="0.35">
      <c r="A31" s="16"/>
      <c r="B31" s="497" t="s">
        <v>53</v>
      </c>
      <c r="C31" s="28" t="s">
        <v>1</v>
      </c>
      <c r="D31" s="15" t="s">
        <v>36</v>
      </c>
      <c r="E31" s="15" t="s">
        <v>50</v>
      </c>
      <c r="F31" s="676" t="s">
        <v>40</v>
      </c>
      <c r="G31" s="677" t="s">
        <v>44</v>
      </c>
      <c r="H31" s="677" t="s">
        <v>38</v>
      </c>
      <c r="I31" s="678" t="s">
        <v>47</v>
      </c>
      <c r="J31" s="15" t="s">
        <v>54</v>
      </c>
      <c r="K31" s="29">
        <v>1056.8</v>
      </c>
      <c r="L31" s="29">
        <f>M31-K31</f>
        <v>-108</v>
      </c>
      <c r="M31" s="29">
        <f>1056.8-108</f>
        <v>948.8</v>
      </c>
      <c r="N31" s="29">
        <f>1056.8-108</f>
        <v>948.8</v>
      </c>
    </row>
    <row r="32" spans="1:14" s="116" customFormat="1" ht="18" x14ac:dyDescent="0.35">
      <c r="A32" s="16"/>
      <c r="B32" s="497" t="s">
        <v>55</v>
      </c>
      <c r="C32" s="28" t="s">
        <v>1</v>
      </c>
      <c r="D32" s="15" t="s">
        <v>36</v>
      </c>
      <c r="E32" s="15" t="s">
        <v>50</v>
      </c>
      <c r="F32" s="676" t="s">
        <v>40</v>
      </c>
      <c r="G32" s="677" t="s">
        <v>44</v>
      </c>
      <c r="H32" s="677" t="s">
        <v>38</v>
      </c>
      <c r="I32" s="678" t="s">
        <v>47</v>
      </c>
      <c r="J32" s="15" t="s">
        <v>56</v>
      </c>
      <c r="K32" s="29">
        <v>60.3</v>
      </c>
      <c r="L32" s="29">
        <f>M32-K32</f>
        <v>0</v>
      </c>
      <c r="M32" s="29">
        <v>60.3</v>
      </c>
      <c r="N32" s="29">
        <v>60.3</v>
      </c>
    </row>
    <row r="33" spans="1:14" s="121" customFormat="1" ht="216" customHeight="1" x14ac:dyDescent="0.35">
      <c r="A33" s="16"/>
      <c r="B33" s="497" t="s">
        <v>591</v>
      </c>
      <c r="C33" s="28" t="s">
        <v>1</v>
      </c>
      <c r="D33" s="15" t="s">
        <v>36</v>
      </c>
      <c r="E33" s="15" t="s">
        <v>50</v>
      </c>
      <c r="F33" s="676" t="s">
        <v>40</v>
      </c>
      <c r="G33" s="677" t="s">
        <v>44</v>
      </c>
      <c r="H33" s="677" t="s">
        <v>38</v>
      </c>
      <c r="I33" s="678" t="s">
        <v>261</v>
      </c>
      <c r="J33" s="15"/>
      <c r="K33" s="29">
        <f>K34</f>
        <v>63</v>
      </c>
      <c r="L33" s="29">
        <f t="shared" ref="L33" si="5">L34</f>
        <v>0</v>
      </c>
      <c r="M33" s="29">
        <f>M34</f>
        <v>63</v>
      </c>
      <c r="N33" s="29">
        <f>N34</f>
        <v>63</v>
      </c>
    </row>
    <row r="34" spans="1:14" s="121" customFormat="1" ht="52.95" customHeight="1" x14ac:dyDescent="0.35">
      <c r="A34" s="16"/>
      <c r="B34" s="497" t="s">
        <v>53</v>
      </c>
      <c r="C34" s="28" t="s">
        <v>1</v>
      </c>
      <c r="D34" s="15" t="s">
        <v>36</v>
      </c>
      <c r="E34" s="15" t="s">
        <v>50</v>
      </c>
      <c r="F34" s="676" t="s">
        <v>40</v>
      </c>
      <c r="G34" s="677" t="s">
        <v>44</v>
      </c>
      <c r="H34" s="677" t="s">
        <v>38</v>
      </c>
      <c r="I34" s="678" t="s">
        <v>261</v>
      </c>
      <c r="J34" s="15" t="s">
        <v>54</v>
      </c>
      <c r="K34" s="29">
        <v>63</v>
      </c>
      <c r="L34" s="29">
        <f>M34-K34</f>
        <v>0</v>
      </c>
      <c r="M34" s="29">
        <v>63</v>
      </c>
      <c r="N34" s="29">
        <v>63</v>
      </c>
    </row>
    <row r="35" spans="1:14" s="121" customFormat="1" ht="198" x14ac:dyDescent="0.35">
      <c r="A35" s="16"/>
      <c r="B35" s="544" t="s">
        <v>442</v>
      </c>
      <c r="C35" s="28" t="s">
        <v>1</v>
      </c>
      <c r="D35" s="15" t="s">
        <v>36</v>
      </c>
      <c r="E35" s="15" t="s">
        <v>50</v>
      </c>
      <c r="F35" s="676" t="s">
        <v>40</v>
      </c>
      <c r="G35" s="677" t="s">
        <v>44</v>
      </c>
      <c r="H35" s="677" t="s">
        <v>38</v>
      </c>
      <c r="I35" s="678" t="s">
        <v>57</v>
      </c>
      <c r="J35" s="15"/>
      <c r="K35" s="29">
        <f>K36</f>
        <v>775.8</v>
      </c>
      <c r="L35" s="29">
        <f t="shared" ref="L35" si="6">L36</f>
        <v>0</v>
      </c>
      <c r="M35" s="29">
        <f>M36</f>
        <v>775.8</v>
      </c>
      <c r="N35" s="29">
        <f>N36</f>
        <v>775.8</v>
      </c>
    </row>
    <row r="36" spans="1:14" s="121" customFormat="1" ht="108" x14ac:dyDescent="0.35">
      <c r="A36" s="16"/>
      <c r="B36" s="497" t="s">
        <v>48</v>
      </c>
      <c r="C36" s="28" t="s">
        <v>1</v>
      </c>
      <c r="D36" s="15" t="s">
        <v>36</v>
      </c>
      <c r="E36" s="15" t="s">
        <v>50</v>
      </c>
      <c r="F36" s="676" t="s">
        <v>40</v>
      </c>
      <c r="G36" s="677" t="s">
        <v>44</v>
      </c>
      <c r="H36" s="677" t="s">
        <v>38</v>
      </c>
      <c r="I36" s="678" t="s">
        <v>57</v>
      </c>
      <c r="J36" s="15" t="s">
        <v>49</v>
      </c>
      <c r="K36" s="29">
        <v>775.8</v>
      </c>
      <c r="L36" s="29">
        <f>M36-K36</f>
        <v>0</v>
      </c>
      <c r="M36" s="29">
        <v>775.8</v>
      </c>
      <c r="N36" s="29">
        <v>775.8</v>
      </c>
    </row>
    <row r="37" spans="1:14" s="121" customFormat="1" ht="72" x14ac:dyDescent="0.35">
      <c r="A37" s="16"/>
      <c r="B37" s="497" t="s">
        <v>404</v>
      </c>
      <c r="C37" s="28" t="s">
        <v>1</v>
      </c>
      <c r="D37" s="15" t="s">
        <v>36</v>
      </c>
      <c r="E37" s="15" t="s">
        <v>50</v>
      </c>
      <c r="F37" s="676" t="s">
        <v>40</v>
      </c>
      <c r="G37" s="677" t="s">
        <v>44</v>
      </c>
      <c r="H37" s="677" t="s">
        <v>38</v>
      </c>
      <c r="I37" s="678" t="s">
        <v>59</v>
      </c>
      <c r="J37" s="15"/>
      <c r="K37" s="29">
        <f>K38+K39</f>
        <v>776</v>
      </c>
      <c r="L37" s="29">
        <f t="shared" ref="L37" si="7">L38+L39</f>
        <v>0</v>
      </c>
      <c r="M37" s="29">
        <f>M38+M39</f>
        <v>776</v>
      </c>
      <c r="N37" s="29">
        <f>N38+N39</f>
        <v>776</v>
      </c>
    </row>
    <row r="38" spans="1:14" s="121" customFormat="1" ht="108" x14ac:dyDescent="0.35">
      <c r="A38" s="16"/>
      <c r="B38" s="497" t="s">
        <v>48</v>
      </c>
      <c r="C38" s="28" t="s">
        <v>1</v>
      </c>
      <c r="D38" s="15" t="s">
        <v>36</v>
      </c>
      <c r="E38" s="15" t="s">
        <v>50</v>
      </c>
      <c r="F38" s="676" t="s">
        <v>40</v>
      </c>
      <c r="G38" s="677" t="s">
        <v>44</v>
      </c>
      <c r="H38" s="677" t="s">
        <v>38</v>
      </c>
      <c r="I38" s="678" t="s">
        <v>59</v>
      </c>
      <c r="J38" s="15" t="s">
        <v>49</v>
      </c>
      <c r="K38" s="29">
        <v>771.8</v>
      </c>
      <c r="L38" s="29">
        <f>M38-K38</f>
        <v>0</v>
      </c>
      <c r="M38" s="29">
        <v>771.8</v>
      </c>
      <c r="N38" s="29">
        <v>771.8</v>
      </c>
    </row>
    <row r="39" spans="1:14" s="121" customFormat="1" ht="54" x14ac:dyDescent="0.35">
      <c r="A39" s="16"/>
      <c r="B39" s="497" t="s">
        <v>53</v>
      </c>
      <c r="C39" s="28" t="s">
        <v>1</v>
      </c>
      <c r="D39" s="15" t="s">
        <v>36</v>
      </c>
      <c r="E39" s="15" t="s">
        <v>50</v>
      </c>
      <c r="F39" s="676" t="s">
        <v>40</v>
      </c>
      <c r="G39" s="677" t="s">
        <v>44</v>
      </c>
      <c r="H39" s="677" t="s">
        <v>38</v>
      </c>
      <c r="I39" s="678" t="s">
        <v>59</v>
      </c>
      <c r="J39" s="15" t="s">
        <v>54</v>
      </c>
      <c r="K39" s="29">
        <v>4.2</v>
      </c>
      <c r="L39" s="29">
        <f>M39-K39</f>
        <v>0</v>
      </c>
      <c r="M39" s="29">
        <v>4.2</v>
      </c>
      <c r="N39" s="29">
        <v>4.2</v>
      </c>
    </row>
    <row r="40" spans="1:14" s="121" customFormat="1" ht="72" x14ac:dyDescent="0.35">
      <c r="A40" s="16"/>
      <c r="B40" s="497" t="s">
        <v>58</v>
      </c>
      <c r="C40" s="28" t="s">
        <v>1</v>
      </c>
      <c r="D40" s="15" t="s">
        <v>36</v>
      </c>
      <c r="E40" s="15" t="s">
        <v>50</v>
      </c>
      <c r="F40" s="676" t="s">
        <v>40</v>
      </c>
      <c r="G40" s="677" t="s">
        <v>44</v>
      </c>
      <c r="H40" s="677" t="s">
        <v>38</v>
      </c>
      <c r="I40" s="678" t="s">
        <v>497</v>
      </c>
      <c r="J40" s="15"/>
      <c r="K40" s="29">
        <f>SUM(K41:K42)</f>
        <v>4217.2</v>
      </c>
      <c r="L40" s="29">
        <f t="shared" ref="L40" si="8">SUM(L41:L42)</f>
        <v>0</v>
      </c>
      <c r="M40" s="29">
        <f>SUM(M41:M42)</f>
        <v>4217.2</v>
      </c>
      <c r="N40" s="29">
        <f>SUM(N41:N42)</f>
        <v>4217.2</v>
      </c>
    </row>
    <row r="41" spans="1:14" s="121" customFormat="1" ht="108" x14ac:dyDescent="0.35">
      <c r="A41" s="16"/>
      <c r="B41" s="497" t="s">
        <v>48</v>
      </c>
      <c r="C41" s="28" t="s">
        <v>1</v>
      </c>
      <c r="D41" s="15" t="s">
        <v>36</v>
      </c>
      <c r="E41" s="15" t="s">
        <v>50</v>
      </c>
      <c r="F41" s="676" t="s">
        <v>40</v>
      </c>
      <c r="G41" s="677" t="s">
        <v>44</v>
      </c>
      <c r="H41" s="677" t="s">
        <v>38</v>
      </c>
      <c r="I41" s="678" t="s">
        <v>497</v>
      </c>
      <c r="J41" s="15" t="s">
        <v>49</v>
      </c>
      <c r="K41" s="29">
        <v>4142.2</v>
      </c>
      <c r="L41" s="29">
        <f>M41-K41</f>
        <v>0</v>
      </c>
      <c r="M41" s="29">
        <v>4142.2</v>
      </c>
      <c r="N41" s="29">
        <v>4142.2</v>
      </c>
    </row>
    <row r="42" spans="1:14" s="121" customFormat="1" ht="54" x14ac:dyDescent="0.35">
      <c r="A42" s="16"/>
      <c r="B42" s="497" t="s">
        <v>53</v>
      </c>
      <c r="C42" s="28" t="s">
        <v>1</v>
      </c>
      <c r="D42" s="15" t="s">
        <v>36</v>
      </c>
      <c r="E42" s="15" t="s">
        <v>50</v>
      </c>
      <c r="F42" s="676" t="s">
        <v>40</v>
      </c>
      <c r="G42" s="677" t="s">
        <v>44</v>
      </c>
      <c r="H42" s="677" t="s">
        <v>38</v>
      </c>
      <c r="I42" s="678" t="s">
        <v>497</v>
      </c>
      <c r="J42" s="15" t="s">
        <v>54</v>
      </c>
      <c r="K42" s="29">
        <v>75</v>
      </c>
      <c r="L42" s="29">
        <f>M42-K42</f>
        <v>0</v>
      </c>
      <c r="M42" s="29">
        <v>75</v>
      </c>
      <c r="N42" s="29">
        <v>75</v>
      </c>
    </row>
    <row r="43" spans="1:14" s="12" customFormat="1" ht="18" x14ac:dyDescent="0.35">
      <c r="A43" s="16"/>
      <c r="B43" s="497" t="s">
        <v>379</v>
      </c>
      <c r="C43" s="28" t="s">
        <v>1</v>
      </c>
      <c r="D43" s="15" t="s">
        <v>36</v>
      </c>
      <c r="E43" s="15" t="s">
        <v>63</v>
      </c>
      <c r="F43" s="676"/>
      <c r="G43" s="677"/>
      <c r="H43" s="677"/>
      <c r="I43" s="678"/>
      <c r="J43" s="15"/>
      <c r="K43" s="29">
        <f t="shared" ref="K43:N47" si="9">K44</f>
        <v>8.9</v>
      </c>
      <c r="L43" s="29">
        <f t="shared" si="9"/>
        <v>0</v>
      </c>
      <c r="M43" s="29">
        <f t="shared" si="9"/>
        <v>8.9</v>
      </c>
      <c r="N43" s="29">
        <f t="shared" si="9"/>
        <v>85.9</v>
      </c>
    </row>
    <row r="44" spans="1:14" s="12" customFormat="1" ht="54" x14ac:dyDescent="0.35">
      <c r="A44" s="16"/>
      <c r="B44" s="497" t="s">
        <v>51</v>
      </c>
      <c r="C44" s="28" t="s">
        <v>1</v>
      </c>
      <c r="D44" s="15" t="s">
        <v>36</v>
      </c>
      <c r="E44" s="15" t="s">
        <v>63</v>
      </c>
      <c r="F44" s="676" t="s">
        <v>40</v>
      </c>
      <c r="G44" s="677" t="s">
        <v>41</v>
      </c>
      <c r="H44" s="677" t="s">
        <v>42</v>
      </c>
      <c r="I44" s="678" t="s">
        <v>43</v>
      </c>
      <c r="J44" s="15"/>
      <c r="K44" s="29">
        <f t="shared" si="9"/>
        <v>8.9</v>
      </c>
      <c r="L44" s="29">
        <f t="shared" si="9"/>
        <v>0</v>
      </c>
      <c r="M44" s="29">
        <f t="shared" si="9"/>
        <v>8.9</v>
      </c>
      <c r="N44" s="29">
        <f t="shared" si="9"/>
        <v>85.9</v>
      </c>
    </row>
    <row r="45" spans="1:14" s="12" customFormat="1" ht="36" x14ac:dyDescent="0.35">
      <c r="A45" s="16"/>
      <c r="B45" s="497" t="s">
        <v>335</v>
      </c>
      <c r="C45" s="28" t="s">
        <v>1</v>
      </c>
      <c r="D45" s="15" t="s">
        <v>36</v>
      </c>
      <c r="E45" s="15" t="s">
        <v>63</v>
      </c>
      <c r="F45" s="676" t="s">
        <v>40</v>
      </c>
      <c r="G45" s="677" t="s">
        <v>44</v>
      </c>
      <c r="H45" s="677" t="s">
        <v>42</v>
      </c>
      <c r="I45" s="678" t="s">
        <v>43</v>
      </c>
      <c r="J45" s="15"/>
      <c r="K45" s="29">
        <f t="shared" si="9"/>
        <v>8.9</v>
      </c>
      <c r="L45" s="29">
        <f t="shared" si="9"/>
        <v>0</v>
      </c>
      <c r="M45" s="29">
        <f t="shared" si="9"/>
        <v>8.9</v>
      </c>
      <c r="N45" s="29">
        <f t="shared" si="9"/>
        <v>85.9</v>
      </c>
    </row>
    <row r="46" spans="1:14" s="12" customFormat="1" ht="36" x14ac:dyDescent="0.35">
      <c r="A46" s="16"/>
      <c r="B46" s="497" t="s">
        <v>52</v>
      </c>
      <c r="C46" s="28" t="s">
        <v>1</v>
      </c>
      <c r="D46" s="15" t="s">
        <v>36</v>
      </c>
      <c r="E46" s="15" t="s">
        <v>63</v>
      </c>
      <c r="F46" s="676" t="s">
        <v>40</v>
      </c>
      <c r="G46" s="677" t="s">
        <v>44</v>
      </c>
      <c r="H46" s="677" t="s">
        <v>38</v>
      </c>
      <c r="I46" s="678" t="s">
        <v>43</v>
      </c>
      <c r="J46" s="15"/>
      <c r="K46" s="29">
        <f t="shared" si="9"/>
        <v>8.9</v>
      </c>
      <c r="L46" s="29">
        <f t="shared" si="9"/>
        <v>0</v>
      </c>
      <c r="M46" s="29">
        <f t="shared" si="9"/>
        <v>8.9</v>
      </c>
      <c r="N46" s="29">
        <f t="shared" si="9"/>
        <v>85.9</v>
      </c>
    </row>
    <row r="47" spans="1:14" s="12" customFormat="1" ht="72" x14ac:dyDescent="0.35">
      <c r="A47" s="16"/>
      <c r="B47" s="497" t="s">
        <v>381</v>
      </c>
      <c r="C47" s="28" t="s">
        <v>1</v>
      </c>
      <c r="D47" s="15" t="s">
        <v>36</v>
      </c>
      <c r="E47" s="15" t="s">
        <v>63</v>
      </c>
      <c r="F47" s="676" t="s">
        <v>40</v>
      </c>
      <c r="G47" s="677" t="s">
        <v>44</v>
      </c>
      <c r="H47" s="677" t="s">
        <v>38</v>
      </c>
      <c r="I47" s="678" t="s">
        <v>380</v>
      </c>
      <c r="J47" s="15"/>
      <c r="K47" s="29">
        <f t="shared" si="9"/>
        <v>8.9</v>
      </c>
      <c r="L47" s="29">
        <f t="shared" si="9"/>
        <v>0</v>
      </c>
      <c r="M47" s="29">
        <f t="shared" si="9"/>
        <v>8.9</v>
      </c>
      <c r="N47" s="29">
        <f t="shared" si="9"/>
        <v>85.9</v>
      </c>
    </row>
    <row r="48" spans="1:14" s="12" customFormat="1" ht="54" x14ac:dyDescent="0.35">
      <c r="A48" s="16"/>
      <c r="B48" s="497" t="s">
        <v>53</v>
      </c>
      <c r="C48" s="28" t="s">
        <v>1</v>
      </c>
      <c r="D48" s="15" t="s">
        <v>36</v>
      </c>
      <c r="E48" s="15" t="s">
        <v>63</v>
      </c>
      <c r="F48" s="676" t="s">
        <v>40</v>
      </c>
      <c r="G48" s="677" t="s">
        <v>44</v>
      </c>
      <c r="H48" s="677" t="s">
        <v>38</v>
      </c>
      <c r="I48" s="678" t="s">
        <v>380</v>
      </c>
      <c r="J48" s="15" t="s">
        <v>54</v>
      </c>
      <c r="K48" s="29">
        <v>8.9</v>
      </c>
      <c r="L48" s="29">
        <f>M48-K48</f>
        <v>0</v>
      </c>
      <c r="M48" s="29">
        <v>8.9</v>
      </c>
      <c r="N48" s="29">
        <v>85.9</v>
      </c>
    </row>
    <row r="49" spans="1:14" s="116" customFormat="1" ht="18" x14ac:dyDescent="0.35">
      <c r="A49" s="16"/>
      <c r="B49" s="497" t="s">
        <v>64</v>
      </c>
      <c r="C49" s="28" t="s">
        <v>1</v>
      </c>
      <c r="D49" s="15" t="s">
        <v>36</v>
      </c>
      <c r="E49" s="15" t="s">
        <v>65</v>
      </c>
      <c r="F49" s="676"/>
      <c r="G49" s="677"/>
      <c r="H49" s="677"/>
      <c r="I49" s="678"/>
      <c r="J49" s="15"/>
      <c r="K49" s="29">
        <f t="shared" ref="K49:N52" si="10">K50</f>
        <v>25000</v>
      </c>
      <c r="L49" s="29">
        <f t="shared" si="10"/>
        <v>0</v>
      </c>
      <c r="M49" s="29">
        <f t="shared" si="10"/>
        <v>25000</v>
      </c>
      <c r="N49" s="29">
        <f t="shared" si="10"/>
        <v>15000</v>
      </c>
    </row>
    <row r="50" spans="1:14" s="116" customFormat="1" ht="36" x14ac:dyDescent="0.35">
      <c r="A50" s="16"/>
      <c r="B50" s="497" t="s">
        <v>436</v>
      </c>
      <c r="C50" s="28" t="s">
        <v>1</v>
      </c>
      <c r="D50" s="15" t="s">
        <v>36</v>
      </c>
      <c r="E50" s="15" t="s">
        <v>65</v>
      </c>
      <c r="F50" s="676" t="s">
        <v>66</v>
      </c>
      <c r="G50" s="677" t="s">
        <v>41</v>
      </c>
      <c r="H50" s="677" t="s">
        <v>42</v>
      </c>
      <c r="I50" s="678" t="s">
        <v>43</v>
      </c>
      <c r="J50" s="15"/>
      <c r="K50" s="29">
        <f t="shared" si="10"/>
        <v>25000</v>
      </c>
      <c r="L50" s="29">
        <f t="shared" si="10"/>
        <v>0</v>
      </c>
      <c r="M50" s="29">
        <f t="shared" si="10"/>
        <v>25000</v>
      </c>
      <c r="N50" s="29">
        <f t="shared" si="10"/>
        <v>15000</v>
      </c>
    </row>
    <row r="51" spans="1:14" s="116" customFormat="1" ht="18" x14ac:dyDescent="0.35">
      <c r="A51" s="16"/>
      <c r="B51" s="529" t="s">
        <v>437</v>
      </c>
      <c r="C51" s="28" t="s">
        <v>1</v>
      </c>
      <c r="D51" s="15" t="s">
        <v>36</v>
      </c>
      <c r="E51" s="15" t="s">
        <v>65</v>
      </c>
      <c r="F51" s="676" t="s">
        <v>66</v>
      </c>
      <c r="G51" s="677" t="s">
        <v>44</v>
      </c>
      <c r="H51" s="677" t="s">
        <v>42</v>
      </c>
      <c r="I51" s="678" t="s">
        <v>43</v>
      </c>
      <c r="J51" s="15"/>
      <c r="K51" s="29">
        <f>K52</f>
        <v>25000</v>
      </c>
      <c r="L51" s="29">
        <f t="shared" si="10"/>
        <v>0</v>
      </c>
      <c r="M51" s="29">
        <f>M52</f>
        <v>25000</v>
      </c>
      <c r="N51" s="29">
        <f>N52</f>
        <v>15000</v>
      </c>
    </row>
    <row r="52" spans="1:14" s="116" customFormat="1" ht="36" x14ac:dyDescent="0.35">
      <c r="A52" s="16"/>
      <c r="B52" s="497" t="s">
        <v>435</v>
      </c>
      <c r="C52" s="28" t="s">
        <v>1</v>
      </c>
      <c r="D52" s="15" t="s">
        <v>36</v>
      </c>
      <c r="E52" s="15" t="s">
        <v>65</v>
      </c>
      <c r="F52" s="676" t="s">
        <v>66</v>
      </c>
      <c r="G52" s="677" t="s">
        <v>44</v>
      </c>
      <c r="H52" s="677" t="s">
        <v>42</v>
      </c>
      <c r="I52" s="678" t="s">
        <v>67</v>
      </c>
      <c r="J52" s="15"/>
      <c r="K52" s="29">
        <f t="shared" si="10"/>
        <v>25000</v>
      </c>
      <c r="L52" s="29">
        <f t="shared" si="10"/>
        <v>0</v>
      </c>
      <c r="M52" s="29">
        <f t="shared" si="10"/>
        <v>25000</v>
      </c>
      <c r="N52" s="29">
        <f t="shared" si="10"/>
        <v>15000</v>
      </c>
    </row>
    <row r="53" spans="1:14" s="116" customFormat="1" ht="18" x14ac:dyDescent="0.35">
      <c r="A53" s="16"/>
      <c r="B53" s="497" t="s">
        <v>55</v>
      </c>
      <c r="C53" s="28" t="s">
        <v>1</v>
      </c>
      <c r="D53" s="15" t="s">
        <v>36</v>
      </c>
      <c r="E53" s="15" t="s">
        <v>65</v>
      </c>
      <c r="F53" s="676" t="s">
        <v>66</v>
      </c>
      <c r="G53" s="677" t="s">
        <v>44</v>
      </c>
      <c r="H53" s="677" t="s">
        <v>42</v>
      </c>
      <c r="I53" s="678" t="s">
        <v>67</v>
      </c>
      <c r="J53" s="15" t="s">
        <v>56</v>
      </c>
      <c r="K53" s="29">
        <f>25000</f>
        <v>25000</v>
      </c>
      <c r="L53" s="29">
        <f>M53-K53</f>
        <v>0</v>
      </c>
      <c r="M53" s="29">
        <f>25000</f>
        <v>25000</v>
      </c>
      <c r="N53" s="29">
        <f>15000</f>
        <v>15000</v>
      </c>
    </row>
    <row r="54" spans="1:14" s="116" customFormat="1" ht="18" x14ac:dyDescent="0.35">
      <c r="A54" s="16"/>
      <c r="B54" s="497" t="s">
        <v>68</v>
      </c>
      <c r="C54" s="28" t="s">
        <v>1</v>
      </c>
      <c r="D54" s="15" t="s">
        <v>36</v>
      </c>
      <c r="E54" s="15" t="s">
        <v>69</v>
      </c>
      <c r="F54" s="676"/>
      <c r="G54" s="677"/>
      <c r="H54" s="677"/>
      <c r="I54" s="678"/>
      <c r="J54" s="15"/>
      <c r="K54" s="29">
        <f>K65+K60</f>
        <v>54815.700000000004</v>
      </c>
      <c r="L54" s="29">
        <f>L55+L65+L60</f>
        <v>108</v>
      </c>
      <c r="M54" s="29">
        <f>M55+M65+M60</f>
        <v>54923.700000000004</v>
      </c>
      <c r="N54" s="29">
        <f>N55+N65+N60</f>
        <v>55756.4</v>
      </c>
    </row>
    <row r="55" spans="1:14" s="116" customFormat="1" ht="72" x14ac:dyDescent="0.35">
      <c r="A55" s="16"/>
      <c r="B55" s="578" t="s">
        <v>328</v>
      </c>
      <c r="C55" s="28" t="s">
        <v>1</v>
      </c>
      <c r="D55" s="15" t="s">
        <v>36</v>
      </c>
      <c r="E55" s="15" t="s">
        <v>69</v>
      </c>
      <c r="F55" s="676" t="s">
        <v>102</v>
      </c>
      <c r="G55" s="677" t="s">
        <v>41</v>
      </c>
      <c r="H55" s="677" t="s">
        <v>42</v>
      </c>
      <c r="I55" s="678" t="s">
        <v>43</v>
      </c>
      <c r="J55" s="15"/>
      <c r="K55" s="29"/>
      <c r="L55" s="29">
        <f>L56</f>
        <v>108</v>
      </c>
      <c r="M55" s="29">
        <f t="shared" ref="M55:N58" si="11">M56</f>
        <v>108</v>
      </c>
      <c r="N55" s="29">
        <f t="shared" si="11"/>
        <v>108</v>
      </c>
    </row>
    <row r="56" spans="1:14" s="116" customFormat="1" ht="36" x14ac:dyDescent="0.35">
      <c r="A56" s="16"/>
      <c r="B56" s="578" t="s">
        <v>686</v>
      </c>
      <c r="C56" s="28" t="s">
        <v>1</v>
      </c>
      <c r="D56" s="15" t="s">
        <v>36</v>
      </c>
      <c r="E56" s="15" t="s">
        <v>69</v>
      </c>
      <c r="F56" s="676" t="s">
        <v>102</v>
      </c>
      <c r="G56" s="677" t="s">
        <v>629</v>
      </c>
      <c r="H56" s="677" t="s">
        <v>42</v>
      </c>
      <c r="I56" s="678" t="s">
        <v>43</v>
      </c>
      <c r="J56" s="15"/>
      <c r="K56" s="29"/>
      <c r="L56" s="29">
        <f>L57</f>
        <v>108</v>
      </c>
      <c r="M56" s="29">
        <f t="shared" si="11"/>
        <v>108</v>
      </c>
      <c r="N56" s="29">
        <f t="shared" si="11"/>
        <v>108</v>
      </c>
    </row>
    <row r="57" spans="1:14" s="116" customFormat="1" ht="36" x14ac:dyDescent="0.35">
      <c r="A57" s="16"/>
      <c r="B57" s="578" t="s">
        <v>687</v>
      </c>
      <c r="C57" s="28" t="s">
        <v>1</v>
      </c>
      <c r="D57" s="15" t="s">
        <v>36</v>
      </c>
      <c r="E57" s="15" t="s">
        <v>69</v>
      </c>
      <c r="F57" s="676" t="s">
        <v>102</v>
      </c>
      <c r="G57" s="677" t="s">
        <v>629</v>
      </c>
      <c r="H57" s="677" t="s">
        <v>36</v>
      </c>
      <c r="I57" s="678" t="s">
        <v>43</v>
      </c>
      <c r="J57" s="15"/>
      <c r="K57" s="29"/>
      <c r="L57" s="29">
        <f>L58</f>
        <v>108</v>
      </c>
      <c r="M57" s="29">
        <f t="shared" si="11"/>
        <v>108</v>
      </c>
      <c r="N57" s="29">
        <f t="shared" si="11"/>
        <v>108</v>
      </c>
    </row>
    <row r="58" spans="1:14" s="116" customFormat="1" ht="72" x14ac:dyDescent="0.35">
      <c r="A58" s="16"/>
      <c r="B58" s="578" t="s">
        <v>688</v>
      </c>
      <c r="C58" s="28" t="s">
        <v>1</v>
      </c>
      <c r="D58" s="15" t="s">
        <v>36</v>
      </c>
      <c r="E58" s="15" t="s">
        <v>69</v>
      </c>
      <c r="F58" s="676" t="s">
        <v>102</v>
      </c>
      <c r="G58" s="677" t="s">
        <v>629</v>
      </c>
      <c r="H58" s="677" t="s">
        <v>36</v>
      </c>
      <c r="I58" s="678" t="s">
        <v>689</v>
      </c>
      <c r="J58" s="15"/>
      <c r="K58" s="29"/>
      <c r="L58" s="29">
        <f>L59</f>
        <v>108</v>
      </c>
      <c r="M58" s="29">
        <f t="shared" si="11"/>
        <v>108</v>
      </c>
      <c r="N58" s="29">
        <f t="shared" si="11"/>
        <v>108</v>
      </c>
    </row>
    <row r="59" spans="1:14" s="116" customFormat="1" ht="54" x14ac:dyDescent="0.35">
      <c r="A59" s="16"/>
      <c r="B59" s="578" t="s">
        <v>53</v>
      </c>
      <c r="C59" s="28" t="s">
        <v>1</v>
      </c>
      <c r="D59" s="15" t="s">
        <v>36</v>
      </c>
      <c r="E59" s="15" t="s">
        <v>69</v>
      </c>
      <c r="F59" s="676" t="s">
        <v>102</v>
      </c>
      <c r="G59" s="677" t="s">
        <v>629</v>
      </c>
      <c r="H59" s="677" t="s">
        <v>36</v>
      </c>
      <c r="I59" s="678" t="s">
        <v>689</v>
      </c>
      <c r="J59" s="15" t="s">
        <v>54</v>
      </c>
      <c r="K59" s="29"/>
      <c r="L59" s="29">
        <f>M59-K59</f>
        <v>108</v>
      </c>
      <c r="M59" s="29">
        <v>108</v>
      </c>
      <c r="N59" s="29">
        <v>108</v>
      </c>
    </row>
    <row r="60" spans="1:14" s="116" customFormat="1" ht="72" x14ac:dyDescent="0.35">
      <c r="A60" s="16"/>
      <c r="B60" s="497" t="s">
        <v>70</v>
      </c>
      <c r="C60" s="28" t="s">
        <v>1</v>
      </c>
      <c r="D60" s="15" t="s">
        <v>36</v>
      </c>
      <c r="E60" s="15" t="s">
        <v>69</v>
      </c>
      <c r="F60" s="676" t="s">
        <v>71</v>
      </c>
      <c r="G60" s="677" t="s">
        <v>41</v>
      </c>
      <c r="H60" s="677" t="s">
        <v>42</v>
      </c>
      <c r="I60" s="678" t="s">
        <v>43</v>
      </c>
      <c r="J60" s="15"/>
      <c r="K60" s="29">
        <f t="shared" ref="K60:N63" si="12">K61</f>
        <v>422.4</v>
      </c>
      <c r="L60" s="29">
        <f t="shared" si="12"/>
        <v>0</v>
      </c>
      <c r="M60" s="29">
        <f t="shared" si="12"/>
        <v>422.4</v>
      </c>
      <c r="N60" s="29">
        <f t="shared" si="12"/>
        <v>422.4</v>
      </c>
    </row>
    <row r="61" spans="1:14" s="116" customFormat="1" ht="36" x14ac:dyDescent="0.35">
      <c r="A61" s="16"/>
      <c r="B61" s="497" t="s">
        <v>335</v>
      </c>
      <c r="C61" s="28" t="s">
        <v>1</v>
      </c>
      <c r="D61" s="15" t="s">
        <v>36</v>
      </c>
      <c r="E61" s="15" t="s">
        <v>69</v>
      </c>
      <c r="F61" s="676" t="s">
        <v>71</v>
      </c>
      <c r="G61" s="677" t="s">
        <v>44</v>
      </c>
      <c r="H61" s="677" t="s">
        <v>42</v>
      </c>
      <c r="I61" s="678" t="s">
        <v>43</v>
      </c>
      <c r="J61" s="15"/>
      <c r="K61" s="29">
        <f t="shared" si="12"/>
        <v>422.4</v>
      </c>
      <c r="L61" s="29">
        <f t="shared" si="12"/>
        <v>0</v>
      </c>
      <c r="M61" s="29">
        <f t="shared" si="12"/>
        <v>422.4</v>
      </c>
      <c r="N61" s="29">
        <f t="shared" si="12"/>
        <v>422.4</v>
      </c>
    </row>
    <row r="62" spans="1:14" s="116" customFormat="1" ht="54" x14ac:dyDescent="0.35">
      <c r="A62" s="16"/>
      <c r="B62" s="529" t="s">
        <v>262</v>
      </c>
      <c r="C62" s="28" t="s">
        <v>1</v>
      </c>
      <c r="D62" s="15" t="s">
        <v>36</v>
      </c>
      <c r="E62" s="15" t="s">
        <v>69</v>
      </c>
      <c r="F62" s="676" t="s">
        <v>71</v>
      </c>
      <c r="G62" s="677" t="s">
        <v>44</v>
      </c>
      <c r="H62" s="677" t="s">
        <v>36</v>
      </c>
      <c r="I62" s="678" t="s">
        <v>43</v>
      </c>
      <c r="J62" s="15"/>
      <c r="K62" s="29">
        <f t="shared" si="12"/>
        <v>422.4</v>
      </c>
      <c r="L62" s="29">
        <f t="shared" si="12"/>
        <v>0</v>
      </c>
      <c r="M62" s="29">
        <f t="shared" si="12"/>
        <v>422.4</v>
      </c>
      <c r="N62" s="29">
        <f t="shared" si="12"/>
        <v>422.4</v>
      </c>
    </row>
    <row r="63" spans="1:14" s="116" customFormat="1" ht="54" x14ac:dyDescent="0.35">
      <c r="A63" s="16"/>
      <c r="B63" s="529" t="s">
        <v>72</v>
      </c>
      <c r="C63" s="28" t="s">
        <v>1</v>
      </c>
      <c r="D63" s="15" t="s">
        <v>36</v>
      </c>
      <c r="E63" s="15" t="s">
        <v>69</v>
      </c>
      <c r="F63" s="676" t="s">
        <v>71</v>
      </c>
      <c r="G63" s="677" t="s">
        <v>44</v>
      </c>
      <c r="H63" s="677" t="s">
        <v>36</v>
      </c>
      <c r="I63" s="678" t="s">
        <v>73</v>
      </c>
      <c r="J63" s="15"/>
      <c r="K63" s="29">
        <f t="shared" si="12"/>
        <v>422.4</v>
      </c>
      <c r="L63" s="29">
        <f t="shared" si="12"/>
        <v>0</v>
      </c>
      <c r="M63" s="29">
        <f t="shared" si="12"/>
        <v>422.4</v>
      </c>
      <c r="N63" s="29">
        <f t="shared" si="12"/>
        <v>422.4</v>
      </c>
    </row>
    <row r="64" spans="1:14" s="116" customFormat="1" ht="54" x14ac:dyDescent="0.35">
      <c r="A64" s="16"/>
      <c r="B64" s="504" t="s">
        <v>74</v>
      </c>
      <c r="C64" s="28" t="s">
        <v>1</v>
      </c>
      <c r="D64" s="15" t="s">
        <v>36</v>
      </c>
      <c r="E64" s="15" t="s">
        <v>69</v>
      </c>
      <c r="F64" s="676" t="s">
        <v>71</v>
      </c>
      <c r="G64" s="677" t="s">
        <v>44</v>
      </c>
      <c r="H64" s="677" t="s">
        <v>36</v>
      </c>
      <c r="I64" s="678" t="s">
        <v>73</v>
      </c>
      <c r="J64" s="15" t="s">
        <v>75</v>
      </c>
      <c r="K64" s="29">
        <v>422.4</v>
      </c>
      <c r="L64" s="29">
        <f>M64-K64</f>
        <v>0</v>
      </c>
      <c r="M64" s="29">
        <v>422.4</v>
      </c>
      <c r="N64" s="29">
        <v>422.4</v>
      </c>
    </row>
    <row r="65" spans="1:14" s="116" customFormat="1" ht="54" x14ac:dyDescent="0.35">
      <c r="A65" s="16"/>
      <c r="B65" s="497" t="s">
        <v>39</v>
      </c>
      <c r="C65" s="28" t="s">
        <v>1</v>
      </c>
      <c r="D65" s="15" t="s">
        <v>36</v>
      </c>
      <c r="E65" s="15" t="s">
        <v>69</v>
      </c>
      <c r="F65" s="676" t="s">
        <v>40</v>
      </c>
      <c r="G65" s="677" t="s">
        <v>41</v>
      </c>
      <c r="H65" s="677" t="s">
        <v>42</v>
      </c>
      <c r="I65" s="678" t="s">
        <v>43</v>
      </c>
      <c r="J65" s="15"/>
      <c r="K65" s="29">
        <f>K66</f>
        <v>54393.3</v>
      </c>
      <c r="L65" s="29">
        <f t="shared" ref="L65" si="13">L66</f>
        <v>0</v>
      </c>
      <c r="M65" s="29">
        <f>M66</f>
        <v>54393.3</v>
      </c>
      <c r="N65" s="29">
        <f>N66</f>
        <v>55226</v>
      </c>
    </row>
    <row r="66" spans="1:14" s="116" customFormat="1" ht="36" x14ac:dyDescent="0.35">
      <c r="A66" s="16"/>
      <c r="B66" s="497" t="s">
        <v>335</v>
      </c>
      <c r="C66" s="28" t="s">
        <v>1</v>
      </c>
      <c r="D66" s="15" t="s">
        <v>36</v>
      </c>
      <c r="E66" s="15" t="s">
        <v>69</v>
      </c>
      <c r="F66" s="676" t="s">
        <v>40</v>
      </c>
      <c r="G66" s="677" t="s">
        <v>44</v>
      </c>
      <c r="H66" s="677" t="s">
        <v>42</v>
      </c>
      <c r="I66" s="678" t="s">
        <v>43</v>
      </c>
      <c r="J66" s="15"/>
      <c r="K66" s="29">
        <f>K67+K74+K70+K79</f>
        <v>54393.3</v>
      </c>
      <c r="L66" s="29">
        <f t="shared" ref="L66" si="14">L67+L74+L70+L79</f>
        <v>0</v>
      </c>
      <c r="M66" s="29">
        <f>M67+M74+M70+M79</f>
        <v>54393.3</v>
      </c>
      <c r="N66" s="29">
        <f>N74+N67+N70+N79</f>
        <v>55226</v>
      </c>
    </row>
    <row r="67" spans="1:14" s="116" customFormat="1" ht="36" x14ac:dyDescent="0.35">
      <c r="A67" s="16"/>
      <c r="B67" s="497" t="s">
        <v>52</v>
      </c>
      <c r="C67" s="28" t="s">
        <v>1</v>
      </c>
      <c r="D67" s="15" t="s">
        <v>36</v>
      </c>
      <c r="E67" s="15" t="s">
        <v>69</v>
      </c>
      <c r="F67" s="676" t="s">
        <v>40</v>
      </c>
      <c r="G67" s="677" t="s">
        <v>44</v>
      </c>
      <c r="H67" s="677" t="s">
        <v>38</v>
      </c>
      <c r="I67" s="678" t="s">
        <v>43</v>
      </c>
      <c r="J67" s="15"/>
      <c r="K67" s="29">
        <f t="shared" ref="K67:N68" si="15">K68</f>
        <v>0</v>
      </c>
      <c r="L67" s="29">
        <f t="shared" si="15"/>
        <v>0</v>
      </c>
      <c r="M67" s="29">
        <f t="shared" si="15"/>
        <v>0</v>
      </c>
      <c r="N67" s="29">
        <f t="shared" si="15"/>
        <v>764</v>
      </c>
    </row>
    <row r="68" spans="1:14" s="116" customFormat="1" ht="36" x14ac:dyDescent="0.35">
      <c r="A68" s="16"/>
      <c r="B68" s="497" t="s">
        <v>626</v>
      </c>
      <c r="C68" s="28" t="s">
        <v>1</v>
      </c>
      <c r="D68" s="15" t="s">
        <v>36</v>
      </c>
      <c r="E68" s="15" t="s">
        <v>69</v>
      </c>
      <c r="F68" s="676" t="s">
        <v>40</v>
      </c>
      <c r="G68" s="677" t="s">
        <v>44</v>
      </c>
      <c r="H68" s="677" t="s">
        <v>38</v>
      </c>
      <c r="I68" s="678" t="s">
        <v>579</v>
      </c>
      <c r="J68" s="15"/>
      <c r="K68" s="29">
        <f t="shared" si="15"/>
        <v>0</v>
      </c>
      <c r="L68" s="29">
        <f t="shared" si="15"/>
        <v>0</v>
      </c>
      <c r="M68" s="29">
        <f t="shared" si="15"/>
        <v>0</v>
      </c>
      <c r="N68" s="29">
        <f t="shared" si="15"/>
        <v>764</v>
      </c>
    </row>
    <row r="69" spans="1:14" s="116" customFormat="1" ht="54" x14ac:dyDescent="0.35">
      <c r="A69" s="16"/>
      <c r="B69" s="497" t="s">
        <v>53</v>
      </c>
      <c r="C69" s="28" t="s">
        <v>1</v>
      </c>
      <c r="D69" s="15" t="s">
        <v>36</v>
      </c>
      <c r="E69" s="15" t="s">
        <v>69</v>
      </c>
      <c r="F69" s="676" t="s">
        <v>40</v>
      </c>
      <c r="G69" s="677" t="s">
        <v>44</v>
      </c>
      <c r="H69" s="677" t="s">
        <v>38</v>
      </c>
      <c r="I69" s="678" t="s">
        <v>579</v>
      </c>
      <c r="J69" s="15" t="s">
        <v>54</v>
      </c>
      <c r="K69" s="29">
        <v>0</v>
      </c>
      <c r="L69" s="29">
        <f>M69-K69</f>
        <v>0</v>
      </c>
      <c r="M69" s="29">
        <v>0</v>
      </c>
      <c r="N69" s="29">
        <f>741+23</f>
        <v>764</v>
      </c>
    </row>
    <row r="70" spans="1:14" s="116" customFormat="1" ht="18" x14ac:dyDescent="0.35">
      <c r="A70" s="16"/>
      <c r="B70" s="504" t="s">
        <v>60</v>
      </c>
      <c r="C70" s="28" t="s">
        <v>1</v>
      </c>
      <c r="D70" s="15" t="s">
        <v>36</v>
      </c>
      <c r="E70" s="15" t="s">
        <v>69</v>
      </c>
      <c r="F70" s="676" t="s">
        <v>40</v>
      </c>
      <c r="G70" s="677" t="s">
        <v>44</v>
      </c>
      <c r="H70" s="677" t="s">
        <v>61</v>
      </c>
      <c r="I70" s="678" t="s">
        <v>43</v>
      </c>
      <c r="J70" s="15"/>
      <c r="K70" s="29">
        <f>K71</f>
        <v>2345.5</v>
      </c>
      <c r="L70" s="29">
        <f t="shared" ref="L70" si="16">L71</f>
        <v>0</v>
      </c>
      <c r="M70" s="29">
        <f>M71</f>
        <v>2345.5</v>
      </c>
      <c r="N70" s="29">
        <f>N71</f>
        <v>2322.5</v>
      </c>
    </row>
    <row r="71" spans="1:14" s="116" customFormat="1" ht="54" x14ac:dyDescent="0.35">
      <c r="A71" s="16"/>
      <c r="B71" s="504" t="s">
        <v>375</v>
      </c>
      <c r="C71" s="28" t="s">
        <v>1</v>
      </c>
      <c r="D71" s="15" t="s">
        <v>36</v>
      </c>
      <c r="E71" s="15" t="s">
        <v>69</v>
      </c>
      <c r="F71" s="676" t="s">
        <v>40</v>
      </c>
      <c r="G71" s="677" t="s">
        <v>44</v>
      </c>
      <c r="H71" s="677" t="s">
        <v>61</v>
      </c>
      <c r="I71" s="678" t="s">
        <v>374</v>
      </c>
      <c r="J71" s="15"/>
      <c r="K71" s="29">
        <f>K72+K73</f>
        <v>2345.5</v>
      </c>
      <c r="L71" s="29">
        <f t="shared" ref="L71" si="17">L72+L73</f>
        <v>0</v>
      </c>
      <c r="M71" s="29">
        <f>M72+M73</f>
        <v>2345.5</v>
      </c>
      <c r="N71" s="29">
        <f>N72+N73</f>
        <v>2322.5</v>
      </c>
    </row>
    <row r="72" spans="1:14" s="116" customFormat="1" ht="54" x14ac:dyDescent="0.35">
      <c r="A72" s="16"/>
      <c r="B72" s="497" t="s">
        <v>53</v>
      </c>
      <c r="C72" s="28" t="s">
        <v>1</v>
      </c>
      <c r="D72" s="15" t="s">
        <v>36</v>
      </c>
      <c r="E72" s="15" t="s">
        <v>69</v>
      </c>
      <c r="F72" s="676" t="s">
        <v>40</v>
      </c>
      <c r="G72" s="677" t="s">
        <v>44</v>
      </c>
      <c r="H72" s="677" t="s">
        <v>61</v>
      </c>
      <c r="I72" s="678" t="s">
        <v>374</v>
      </c>
      <c r="J72" s="15" t="s">
        <v>54</v>
      </c>
      <c r="K72" s="29">
        <v>2121.6999999999998</v>
      </c>
      <c r="L72" s="29">
        <f>M72-K72</f>
        <v>0</v>
      </c>
      <c r="M72" s="29">
        <v>2121.6999999999998</v>
      </c>
      <c r="N72" s="29">
        <v>2098.6999999999998</v>
      </c>
    </row>
    <row r="73" spans="1:14" s="116" customFormat="1" ht="18" x14ac:dyDescent="0.35">
      <c r="A73" s="16"/>
      <c r="B73" s="497" t="s">
        <v>55</v>
      </c>
      <c r="C73" s="28" t="s">
        <v>1</v>
      </c>
      <c r="D73" s="15" t="s">
        <v>36</v>
      </c>
      <c r="E73" s="15" t="s">
        <v>69</v>
      </c>
      <c r="F73" s="676" t="s">
        <v>40</v>
      </c>
      <c r="G73" s="677" t="s">
        <v>44</v>
      </c>
      <c r="H73" s="677" t="s">
        <v>61</v>
      </c>
      <c r="I73" s="678" t="s">
        <v>374</v>
      </c>
      <c r="J73" s="15" t="s">
        <v>56</v>
      </c>
      <c r="K73" s="29">
        <v>223.8</v>
      </c>
      <c r="L73" s="29">
        <f>M73-K73</f>
        <v>0</v>
      </c>
      <c r="M73" s="29">
        <v>223.8</v>
      </c>
      <c r="N73" s="29">
        <v>223.8</v>
      </c>
    </row>
    <row r="74" spans="1:14" s="116" customFormat="1" ht="18" x14ac:dyDescent="0.35">
      <c r="A74" s="16"/>
      <c r="B74" s="497" t="s">
        <v>62</v>
      </c>
      <c r="C74" s="28" t="s">
        <v>1</v>
      </c>
      <c r="D74" s="15" t="s">
        <v>36</v>
      </c>
      <c r="E74" s="15" t="s">
        <v>69</v>
      </c>
      <c r="F74" s="676" t="s">
        <v>40</v>
      </c>
      <c r="G74" s="677" t="s">
        <v>44</v>
      </c>
      <c r="H74" s="677" t="s">
        <v>50</v>
      </c>
      <c r="I74" s="678" t="s">
        <v>43</v>
      </c>
      <c r="J74" s="15"/>
      <c r="K74" s="29">
        <f>K75+K77</f>
        <v>5564.6</v>
      </c>
      <c r="L74" s="29">
        <f t="shared" ref="L74" si="18">L75+L77</f>
        <v>0</v>
      </c>
      <c r="M74" s="29">
        <f>M75+M77</f>
        <v>5564.6</v>
      </c>
      <c r="N74" s="29">
        <f>N75+N77</f>
        <v>5564.6</v>
      </c>
    </row>
    <row r="75" spans="1:14" s="116" customFormat="1" ht="54" x14ac:dyDescent="0.35">
      <c r="A75" s="16"/>
      <c r="B75" s="545" t="s">
        <v>348</v>
      </c>
      <c r="C75" s="28" t="s">
        <v>1</v>
      </c>
      <c r="D75" s="15" t="s">
        <v>36</v>
      </c>
      <c r="E75" s="15" t="s">
        <v>69</v>
      </c>
      <c r="F75" s="676" t="s">
        <v>40</v>
      </c>
      <c r="G75" s="677" t="s">
        <v>44</v>
      </c>
      <c r="H75" s="677" t="s">
        <v>50</v>
      </c>
      <c r="I75" s="678" t="s">
        <v>103</v>
      </c>
      <c r="J75" s="15"/>
      <c r="K75" s="29">
        <f>K76</f>
        <v>3475.6</v>
      </c>
      <c r="L75" s="29">
        <f t="shared" ref="L75" si="19">L76</f>
        <v>0</v>
      </c>
      <c r="M75" s="29">
        <f>M76</f>
        <v>3475.6</v>
      </c>
      <c r="N75" s="29">
        <f>N76</f>
        <v>3475.6</v>
      </c>
    </row>
    <row r="76" spans="1:14" s="116" customFormat="1" ht="54" x14ac:dyDescent="0.35">
      <c r="A76" s="16"/>
      <c r="B76" s="497" t="s">
        <v>53</v>
      </c>
      <c r="C76" s="28" t="s">
        <v>1</v>
      </c>
      <c r="D76" s="15" t="s">
        <v>36</v>
      </c>
      <c r="E76" s="15" t="s">
        <v>69</v>
      </c>
      <c r="F76" s="676" t="s">
        <v>40</v>
      </c>
      <c r="G76" s="677" t="s">
        <v>44</v>
      </c>
      <c r="H76" s="677" t="s">
        <v>50</v>
      </c>
      <c r="I76" s="678" t="s">
        <v>103</v>
      </c>
      <c r="J76" s="15" t="s">
        <v>54</v>
      </c>
      <c r="K76" s="29">
        <v>3475.6</v>
      </c>
      <c r="L76" s="29">
        <f>M76-K76</f>
        <v>0</v>
      </c>
      <c r="M76" s="29">
        <v>3475.6</v>
      </c>
      <c r="N76" s="29">
        <v>3475.6</v>
      </c>
    </row>
    <row r="77" spans="1:14" s="116" customFormat="1" ht="54" x14ac:dyDescent="0.35">
      <c r="A77" s="16"/>
      <c r="B77" s="497" t="s">
        <v>350</v>
      </c>
      <c r="C77" s="28" t="s">
        <v>1</v>
      </c>
      <c r="D77" s="15" t="s">
        <v>36</v>
      </c>
      <c r="E77" s="15" t="s">
        <v>69</v>
      </c>
      <c r="F77" s="676" t="s">
        <v>40</v>
      </c>
      <c r="G77" s="677" t="s">
        <v>44</v>
      </c>
      <c r="H77" s="677" t="s">
        <v>50</v>
      </c>
      <c r="I77" s="678" t="s">
        <v>349</v>
      </c>
      <c r="J77" s="15"/>
      <c r="K77" s="29">
        <f>K78</f>
        <v>2089</v>
      </c>
      <c r="L77" s="29">
        <f t="shared" ref="L77" si="20">L78</f>
        <v>0</v>
      </c>
      <c r="M77" s="29">
        <f>M78</f>
        <v>2089</v>
      </c>
      <c r="N77" s="29">
        <f>N78</f>
        <v>2089</v>
      </c>
    </row>
    <row r="78" spans="1:14" s="116" customFormat="1" ht="54" x14ac:dyDescent="0.35">
      <c r="A78" s="16"/>
      <c r="B78" s="497" t="s">
        <v>53</v>
      </c>
      <c r="C78" s="28" t="s">
        <v>1</v>
      </c>
      <c r="D78" s="15" t="s">
        <v>36</v>
      </c>
      <c r="E78" s="15" t="s">
        <v>69</v>
      </c>
      <c r="F78" s="676" t="s">
        <v>40</v>
      </c>
      <c r="G78" s="677" t="s">
        <v>44</v>
      </c>
      <c r="H78" s="677" t="s">
        <v>50</v>
      </c>
      <c r="I78" s="678" t="s">
        <v>349</v>
      </c>
      <c r="J78" s="15" t="s">
        <v>54</v>
      </c>
      <c r="K78" s="29">
        <v>2089</v>
      </c>
      <c r="L78" s="29">
        <f>M78-K78</f>
        <v>0</v>
      </c>
      <c r="M78" s="29">
        <v>2089</v>
      </c>
      <c r="N78" s="29">
        <v>2089</v>
      </c>
    </row>
    <row r="79" spans="1:14" s="116" customFormat="1" ht="90" x14ac:dyDescent="0.35">
      <c r="A79" s="16"/>
      <c r="B79" s="497" t="s">
        <v>528</v>
      </c>
      <c r="C79" s="28" t="s">
        <v>1</v>
      </c>
      <c r="D79" s="15" t="s">
        <v>36</v>
      </c>
      <c r="E79" s="15" t="s">
        <v>69</v>
      </c>
      <c r="F79" s="676" t="s">
        <v>40</v>
      </c>
      <c r="G79" s="677" t="s">
        <v>44</v>
      </c>
      <c r="H79" s="677" t="s">
        <v>526</v>
      </c>
      <c r="I79" s="678" t="s">
        <v>43</v>
      </c>
      <c r="J79" s="15"/>
      <c r="K79" s="29">
        <f>K80</f>
        <v>46483.200000000004</v>
      </c>
      <c r="L79" s="29">
        <f t="shared" ref="L79" si="21">L80</f>
        <v>0</v>
      </c>
      <c r="M79" s="29">
        <f>M80</f>
        <v>46483.200000000004</v>
      </c>
      <c r="N79" s="29">
        <f>N80</f>
        <v>46574.9</v>
      </c>
    </row>
    <row r="80" spans="1:14" s="116" customFormat="1" ht="36" x14ac:dyDescent="0.35">
      <c r="A80" s="16"/>
      <c r="B80" s="529" t="s">
        <v>454</v>
      </c>
      <c r="C80" s="28" t="s">
        <v>1</v>
      </c>
      <c r="D80" s="15" t="s">
        <v>36</v>
      </c>
      <c r="E80" s="15" t="s">
        <v>69</v>
      </c>
      <c r="F80" s="676" t="s">
        <v>40</v>
      </c>
      <c r="G80" s="677" t="s">
        <v>44</v>
      </c>
      <c r="H80" s="677" t="s">
        <v>526</v>
      </c>
      <c r="I80" s="678" t="s">
        <v>89</v>
      </c>
      <c r="J80" s="15"/>
      <c r="K80" s="29">
        <f>K81+K82+K83</f>
        <v>46483.200000000004</v>
      </c>
      <c r="L80" s="29">
        <f t="shared" ref="L80" si="22">L81+L82+L83</f>
        <v>0</v>
      </c>
      <c r="M80" s="29">
        <f>M81+M82+M83</f>
        <v>46483.200000000004</v>
      </c>
      <c r="N80" s="29">
        <f>N81+N82+N83</f>
        <v>46574.9</v>
      </c>
    </row>
    <row r="81" spans="1:14" s="116" customFormat="1" ht="108" x14ac:dyDescent="0.35">
      <c r="A81" s="16"/>
      <c r="B81" s="497" t="s">
        <v>48</v>
      </c>
      <c r="C81" s="28" t="s">
        <v>1</v>
      </c>
      <c r="D81" s="15" t="s">
        <v>36</v>
      </c>
      <c r="E81" s="15" t="s">
        <v>69</v>
      </c>
      <c r="F81" s="676" t="s">
        <v>40</v>
      </c>
      <c r="G81" s="677" t="s">
        <v>44</v>
      </c>
      <c r="H81" s="677" t="s">
        <v>526</v>
      </c>
      <c r="I81" s="678" t="s">
        <v>89</v>
      </c>
      <c r="J81" s="15" t="s">
        <v>49</v>
      </c>
      <c r="K81" s="29">
        <v>35688</v>
      </c>
      <c r="L81" s="29">
        <f>M81-K81</f>
        <v>0</v>
      </c>
      <c r="M81" s="29">
        <v>35688</v>
      </c>
      <c r="N81" s="29">
        <v>35688</v>
      </c>
    </row>
    <row r="82" spans="1:14" s="116" customFormat="1" ht="54" x14ac:dyDescent="0.35">
      <c r="A82" s="16"/>
      <c r="B82" s="497" t="s">
        <v>53</v>
      </c>
      <c r="C82" s="28" t="s">
        <v>1</v>
      </c>
      <c r="D82" s="15" t="s">
        <v>36</v>
      </c>
      <c r="E82" s="15" t="s">
        <v>69</v>
      </c>
      <c r="F82" s="676" t="s">
        <v>40</v>
      </c>
      <c r="G82" s="677" t="s">
        <v>44</v>
      </c>
      <c r="H82" s="677" t="s">
        <v>526</v>
      </c>
      <c r="I82" s="678" t="s">
        <v>89</v>
      </c>
      <c r="J82" s="15" t="s">
        <v>54</v>
      </c>
      <c r="K82" s="29">
        <v>10709.3</v>
      </c>
      <c r="L82" s="29">
        <f>M82-K82</f>
        <v>0</v>
      </c>
      <c r="M82" s="29">
        <v>10709.3</v>
      </c>
      <c r="N82" s="29">
        <v>10802.9</v>
      </c>
    </row>
    <row r="83" spans="1:14" s="116" customFormat="1" ht="18" x14ac:dyDescent="0.35">
      <c r="A83" s="16"/>
      <c r="B83" s="497" t="s">
        <v>55</v>
      </c>
      <c r="C83" s="28" t="s">
        <v>1</v>
      </c>
      <c r="D83" s="15" t="s">
        <v>36</v>
      </c>
      <c r="E83" s="15" t="s">
        <v>69</v>
      </c>
      <c r="F83" s="676" t="s">
        <v>40</v>
      </c>
      <c r="G83" s="677" t="s">
        <v>44</v>
      </c>
      <c r="H83" s="677" t="s">
        <v>526</v>
      </c>
      <c r="I83" s="678" t="s">
        <v>89</v>
      </c>
      <c r="J83" s="15" t="s">
        <v>56</v>
      </c>
      <c r="K83" s="29">
        <v>85.9</v>
      </c>
      <c r="L83" s="29">
        <f>M83-K83</f>
        <v>0</v>
      </c>
      <c r="M83" s="29">
        <v>85.9</v>
      </c>
      <c r="N83" s="29">
        <v>84</v>
      </c>
    </row>
    <row r="84" spans="1:14" s="116" customFormat="1" ht="36" x14ac:dyDescent="0.35">
      <c r="A84" s="16"/>
      <c r="B84" s="497" t="s">
        <v>76</v>
      </c>
      <c r="C84" s="28" t="s">
        <v>1</v>
      </c>
      <c r="D84" s="15" t="s">
        <v>61</v>
      </c>
      <c r="E84" s="15"/>
      <c r="F84" s="676"/>
      <c r="G84" s="677"/>
      <c r="H84" s="677"/>
      <c r="I84" s="678"/>
      <c r="J84" s="15"/>
      <c r="K84" s="29">
        <f>K85+K93</f>
        <v>14790.1</v>
      </c>
      <c r="L84" s="29">
        <f t="shared" ref="L84" si="23">L85+L93</f>
        <v>0</v>
      </c>
      <c r="M84" s="29">
        <f>M85+M93</f>
        <v>14790.1</v>
      </c>
      <c r="N84" s="29">
        <f>N85+N93</f>
        <v>14790.6</v>
      </c>
    </row>
    <row r="85" spans="1:14" s="116" customFormat="1" ht="72" x14ac:dyDescent="0.35">
      <c r="A85" s="16"/>
      <c r="B85" s="572" t="s">
        <v>452</v>
      </c>
      <c r="C85" s="28" t="s">
        <v>1</v>
      </c>
      <c r="D85" s="15" t="s">
        <v>61</v>
      </c>
      <c r="E85" s="15" t="s">
        <v>102</v>
      </c>
      <c r="F85" s="676"/>
      <c r="G85" s="677"/>
      <c r="H85" s="677"/>
      <c r="I85" s="678"/>
      <c r="J85" s="15"/>
      <c r="K85" s="29">
        <f t="shared" ref="K85:N87" si="24">K86</f>
        <v>362.29999999999995</v>
      </c>
      <c r="L85" s="29">
        <f t="shared" si="24"/>
        <v>0</v>
      </c>
      <c r="M85" s="29">
        <f t="shared" si="24"/>
        <v>362.29999999999995</v>
      </c>
      <c r="N85" s="29">
        <f t="shared" si="24"/>
        <v>362.29999999999995</v>
      </c>
    </row>
    <row r="86" spans="1:14" s="116" customFormat="1" ht="54" x14ac:dyDescent="0.35">
      <c r="A86" s="16"/>
      <c r="B86" s="497" t="s">
        <v>78</v>
      </c>
      <c r="C86" s="28" t="s">
        <v>1</v>
      </c>
      <c r="D86" s="15" t="s">
        <v>61</v>
      </c>
      <c r="E86" s="15" t="s">
        <v>102</v>
      </c>
      <c r="F86" s="676" t="s">
        <v>79</v>
      </c>
      <c r="G86" s="677" t="s">
        <v>41</v>
      </c>
      <c r="H86" s="677" t="s">
        <v>42</v>
      </c>
      <c r="I86" s="678" t="s">
        <v>43</v>
      </c>
      <c r="J86" s="15"/>
      <c r="K86" s="29">
        <f t="shared" si="24"/>
        <v>362.29999999999995</v>
      </c>
      <c r="L86" s="29">
        <f t="shared" si="24"/>
        <v>0</v>
      </c>
      <c r="M86" s="29">
        <f t="shared" si="24"/>
        <v>362.29999999999995</v>
      </c>
      <c r="N86" s="29">
        <f t="shared" si="24"/>
        <v>362.29999999999995</v>
      </c>
    </row>
    <row r="87" spans="1:14" s="116" customFormat="1" ht="54" x14ac:dyDescent="0.35">
      <c r="A87" s="16"/>
      <c r="B87" s="546" t="s">
        <v>80</v>
      </c>
      <c r="C87" s="28" t="s">
        <v>1</v>
      </c>
      <c r="D87" s="15" t="s">
        <v>61</v>
      </c>
      <c r="E87" s="15" t="s">
        <v>102</v>
      </c>
      <c r="F87" s="676" t="s">
        <v>79</v>
      </c>
      <c r="G87" s="677" t="s">
        <v>44</v>
      </c>
      <c r="H87" s="677" t="s">
        <v>42</v>
      </c>
      <c r="I87" s="678" t="s">
        <v>43</v>
      </c>
      <c r="J87" s="15"/>
      <c r="K87" s="29">
        <f t="shared" si="24"/>
        <v>362.29999999999995</v>
      </c>
      <c r="L87" s="29">
        <f t="shared" si="24"/>
        <v>0</v>
      </c>
      <c r="M87" s="29">
        <f t="shared" si="24"/>
        <v>362.29999999999995</v>
      </c>
      <c r="N87" s="29">
        <f t="shared" si="24"/>
        <v>362.29999999999995</v>
      </c>
    </row>
    <row r="88" spans="1:14" s="116" customFormat="1" ht="72" x14ac:dyDescent="0.35">
      <c r="A88" s="16"/>
      <c r="B88" s="497" t="s">
        <v>81</v>
      </c>
      <c r="C88" s="28" t="s">
        <v>1</v>
      </c>
      <c r="D88" s="15" t="s">
        <v>61</v>
      </c>
      <c r="E88" s="15" t="s">
        <v>102</v>
      </c>
      <c r="F88" s="676" t="s">
        <v>79</v>
      </c>
      <c r="G88" s="677" t="s">
        <v>44</v>
      </c>
      <c r="H88" s="677" t="s">
        <v>36</v>
      </c>
      <c r="I88" s="678" t="s">
        <v>43</v>
      </c>
      <c r="J88" s="15"/>
      <c r="K88" s="29">
        <f>K89+K91</f>
        <v>362.29999999999995</v>
      </c>
      <c r="L88" s="29">
        <f t="shared" ref="L88" si="25">L89+L91</f>
        <v>0</v>
      </c>
      <c r="M88" s="29">
        <f>M89+M91</f>
        <v>362.29999999999995</v>
      </c>
      <c r="N88" s="29">
        <f>N89+N91</f>
        <v>362.29999999999995</v>
      </c>
    </row>
    <row r="89" spans="1:14" s="116" customFormat="1" ht="36" x14ac:dyDescent="0.35">
      <c r="A89" s="16"/>
      <c r="B89" s="546" t="s">
        <v>441</v>
      </c>
      <c r="C89" s="28" t="s">
        <v>1</v>
      </c>
      <c r="D89" s="15" t="s">
        <v>61</v>
      </c>
      <c r="E89" s="15" t="s">
        <v>102</v>
      </c>
      <c r="F89" s="676" t="s">
        <v>79</v>
      </c>
      <c r="G89" s="677" t="s">
        <v>44</v>
      </c>
      <c r="H89" s="677" t="s">
        <v>36</v>
      </c>
      <c r="I89" s="678" t="s">
        <v>82</v>
      </c>
      <c r="J89" s="15"/>
      <c r="K89" s="29">
        <f>K90</f>
        <v>298.39999999999998</v>
      </c>
      <c r="L89" s="29">
        <f t="shared" ref="L89" si="26">L90</f>
        <v>0</v>
      </c>
      <c r="M89" s="29">
        <f>M90</f>
        <v>298.39999999999998</v>
      </c>
      <c r="N89" s="29">
        <f>N90</f>
        <v>298.39999999999998</v>
      </c>
    </row>
    <row r="90" spans="1:14" s="116" customFormat="1" ht="54" x14ac:dyDescent="0.35">
      <c r="A90" s="16"/>
      <c r="B90" s="497" t="s">
        <v>53</v>
      </c>
      <c r="C90" s="28" t="s">
        <v>1</v>
      </c>
      <c r="D90" s="15" t="s">
        <v>61</v>
      </c>
      <c r="E90" s="15" t="s">
        <v>102</v>
      </c>
      <c r="F90" s="676" t="s">
        <v>79</v>
      </c>
      <c r="G90" s="677" t="s">
        <v>44</v>
      </c>
      <c r="H90" s="677" t="s">
        <v>36</v>
      </c>
      <c r="I90" s="678" t="s">
        <v>82</v>
      </c>
      <c r="J90" s="15" t="s">
        <v>54</v>
      </c>
      <c r="K90" s="29">
        <v>298.39999999999998</v>
      </c>
      <c r="L90" s="29">
        <f>M90-K90</f>
        <v>0</v>
      </c>
      <c r="M90" s="29">
        <v>298.39999999999998</v>
      </c>
      <c r="N90" s="29">
        <v>298.39999999999998</v>
      </c>
    </row>
    <row r="91" spans="1:14" s="116" customFormat="1" ht="54" x14ac:dyDescent="0.35">
      <c r="A91" s="16"/>
      <c r="B91" s="497" t="s">
        <v>83</v>
      </c>
      <c r="C91" s="28" t="s">
        <v>1</v>
      </c>
      <c r="D91" s="15" t="s">
        <v>61</v>
      </c>
      <c r="E91" s="15" t="s">
        <v>102</v>
      </c>
      <c r="F91" s="676" t="s">
        <v>79</v>
      </c>
      <c r="G91" s="677" t="s">
        <v>44</v>
      </c>
      <c r="H91" s="677" t="s">
        <v>36</v>
      </c>
      <c r="I91" s="678" t="s">
        <v>84</v>
      </c>
      <c r="J91" s="15"/>
      <c r="K91" s="29">
        <f>K92</f>
        <v>63.9</v>
      </c>
      <c r="L91" s="29">
        <f t="shared" ref="L91" si="27">L92</f>
        <v>0</v>
      </c>
      <c r="M91" s="29">
        <f>M92</f>
        <v>63.9</v>
      </c>
      <c r="N91" s="29">
        <f>N92</f>
        <v>63.9</v>
      </c>
    </row>
    <row r="92" spans="1:14" s="116" customFormat="1" ht="54" x14ac:dyDescent="0.35">
      <c r="A92" s="16"/>
      <c r="B92" s="497" t="s">
        <v>53</v>
      </c>
      <c r="C92" s="28" t="s">
        <v>1</v>
      </c>
      <c r="D92" s="15" t="s">
        <v>61</v>
      </c>
      <c r="E92" s="15" t="s">
        <v>102</v>
      </c>
      <c r="F92" s="676" t="s">
        <v>79</v>
      </c>
      <c r="G92" s="677" t="s">
        <v>44</v>
      </c>
      <c r="H92" s="677" t="s">
        <v>36</v>
      </c>
      <c r="I92" s="678" t="s">
        <v>84</v>
      </c>
      <c r="J92" s="15" t="s">
        <v>54</v>
      </c>
      <c r="K92" s="29">
        <v>63.9</v>
      </c>
      <c r="L92" s="29">
        <f>M92-K92</f>
        <v>0</v>
      </c>
      <c r="M92" s="29">
        <v>63.9</v>
      </c>
      <c r="N92" s="29">
        <v>63.9</v>
      </c>
    </row>
    <row r="93" spans="1:14" s="116" customFormat="1" ht="54" x14ac:dyDescent="0.35">
      <c r="A93" s="16"/>
      <c r="B93" s="545" t="s">
        <v>85</v>
      </c>
      <c r="C93" s="28" t="s">
        <v>1</v>
      </c>
      <c r="D93" s="15" t="s">
        <v>61</v>
      </c>
      <c r="E93" s="15" t="s">
        <v>86</v>
      </c>
      <c r="F93" s="676"/>
      <c r="G93" s="677"/>
      <c r="H93" s="677"/>
      <c r="I93" s="678"/>
      <c r="J93" s="15"/>
      <c r="K93" s="29">
        <f>K94</f>
        <v>14427.800000000001</v>
      </c>
      <c r="L93" s="29">
        <f t="shared" ref="L93" si="28">L94</f>
        <v>0</v>
      </c>
      <c r="M93" s="29">
        <f>M94</f>
        <v>14427.800000000001</v>
      </c>
      <c r="N93" s="29">
        <f>N94</f>
        <v>14428.300000000001</v>
      </c>
    </row>
    <row r="94" spans="1:14" s="116" customFormat="1" ht="54" x14ac:dyDescent="0.35">
      <c r="A94" s="16"/>
      <c r="B94" s="497" t="s">
        <v>78</v>
      </c>
      <c r="C94" s="28" t="s">
        <v>1</v>
      </c>
      <c r="D94" s="15" t="s">
        <v>61</v>
      </c>
      <c r="E94" s="15" t="s">
        <v>86</v>
      </c>
      <c r="F94" s="676" t="s">
        <v>79</v>
      </c>
      <c r="G94" s="677" t="s">
        <v>41</v>
      </c>
      <c r="H94" s="677" t="s">
        <v>42</v>
      </c>
      <c r="I94" s="678" t="s">
        <v>43</v>
      </c>
      <c r="J94" s="15"/>
      <c r="K94" s="29">
        <f>K102+K95+K108</f>
        <v>14427.800000000001</v>
      </c>
      <c r="L94" s="29">
        <f t="shared" ref="L94" si="29">L102+L95+L108</f>
        <v>0</v>
      </c>
      <c r="M94" s="29">
        <f>M102+M95+M108</f>
        <v>14427.800000000001</v>
      </c>
      <c r="N94" s="29">
        <f>N102+N95+N108</f>
        <v>14428.300000000001</v>
      </c>
    </row>
    <row r="95" spans="1:14" s="116" customFormat="1" ht="36" x14ac:dyDescent="0.35">
      <c r="A95" s="16"/>
      <c r="B95" s="545" t="s">
        <v>123</v>
      </c>
      <c r="C95" s="28" t="s">
        <v>1</v>
      </c>
      <c r="D95" s="15" t="s">
        <v>61</v>
      </c>
      <c r="E95" s="15" t="s">
        <v>86</v>
      </c>
      <c r="F95" s="676" t="s">
        <v>79</v>
      </c>
      <c r="G95" s="677" t="s">
        <v>87</v>
      </c>
      <c r="H95" s="677" t="s">
        <v>42</v>
      </c>
      <c r="I95" s="678" t="s">
        <v>43</v>
      </c>
      <c r="J95" s="15"/>
      <c r="K95" s="29">
        <f>K96+K99</f>
        <v>1747.4</v>
      </c>
      <c r="L95" s="29">
        <f t="shared" ref="L95" si="30">L96+L99</f>
        <v>0</v>
      </c>
      <c r="M95" s="29">
        <f>M96+M99</f>
        <v>1747.4</v>
      </c>
      <c r="N95" s="29">
        <f>N96+N99</f>
        <v>1747.4</v>
      </c>
    </row>
    <row r="96" spans="1:14" s="116" customFormat="1" ht="36" x14ac:dyDescent="0.35">
      <c r="A96" s="16"/>
      <c r="B96" s="545" t="s">
        <v>267</v>
      </c>
      <c r="C96" s="28" t="s">
        <v>1</v>
      </c>
      <c r="D96" s="15" t="s">
        <v>61</v>
      </c>
      <c r="E96" s="15" t="s">
        <v>86</v>
      </c>
      <c r="F96" s="676" t="s">
        <v>79</v>
      </c>
      <c r="G96" s="677" t="s">
        <v>87</v>
      </c>
      <c r="H96" s="677" t="s">
        <v>36</v>
      </c>
      <c r="I96" s="678" t="s">
        <v>43</v>
      </c>
      <c r="J96" s="15"/>
      <c r="K96" s="29">
        <f t="shared" ref="K96:N97" si="31">K97</f>
        <v>28.7</v>
      </c>
      <c r="L96" s="29">
        <f t="shared" si="31"/>
        <v>0</v>
      </c>
      <c r="M96" s="29">
        <f t="shared" si="31"/>
        <v>28.7</v>
      </c>
      <c r="N96" s="29">
        <f t="shared" si="31"/>
        <v>28.7</v>
      </c>
    </row>
    <row r="97" spans="1:14" s="116" customFormat="1" ht="36" x14ac:dyDescent="0.35">
      <c r="A97" s="16"/>
      <c r="B97" s="529" t="s">
        <v>125</v>
      </c>
      <c r="C97" s="28" t="s">
        <v>1</v>
      </c>
      <c r="D97" s="15" t="s">
        <v>61</v>
      </c>
      <c r="E97" s="15" t="s">
        <v>86</v>
      </c>
      <c r="F97" s="676" t="s">
        <v>79</v>
      </c>
      <c r="G97" s="677" t="s">
        <v>87</v>
      </c>
      <c r="H97" s="677" t="s">
        <v>36</v>
      </c>
      <c r="I97" s="678" t="s">
        <v>88</v>
      </c>
      <c r="J97" s="15"/>
      <c r="K97" s="29">
        <f t="shared" si="31"/>
        <v>28.7</v>
      </c>
      <c r="L97" s="29">
        <f t="shared" si="31"/>
        <v>0</v>
      </c>
      <c r="M97" s="29">
        <f t="shared" si="31"/>
        <v>28.7</v>
      </c>
      <c r="N97" s="29">
        <f t="shared" si="31"/>
        <v>28.7</v>
      </c>
    </row>
    <row r="98" spans="1:14" s="116" customFormat="1" ht="54" x14ac:dyDescent="0.35">
      <c r="A98" s="16"/>
      <c r="B98" s="497" t="s">
        <v>53</v>
      </c>
      <c r="C98" s="28" t="s">
        <v>1</v>
      </c>
      <c r="D98" s="15" t="s">
        <v>61</v>
      </c>
      <c r="E98" s="15" t="s">
        <v>86</v>
      </c>
      <c r="F98" s="676" t="s">
        <v>79</v>
      </c>
      <c r="G98" s="677" t="s">
        <v>87</v>
      </c>
      <c r="H98" s="677" t="s">
        <v>36</v>
      </c>
      <c r="I98" s="678" t="s">
        <v>88</v>
      </c>
      <c r="J98" s="15" t="s">
        <v>54</v>
      </c>
      <c r="K98" s="29">
        <v>28.7</v>
      </c>
      <c r="L98" s="29">
        <f>M98-K98</f>
        <v>0</v>
      </c>
      <c r="M98" s="29">
        <v>28.7</v>
      </c>
      <c r="N98" s="29">
        <v>28.7</v>
      </c>
    </row>
    <row r="99" spans="1:14" s="116" customFormat="1" ht="54" x14ac:dyDescent="0.35">
      <c r="A99" s="16"/>
      <c r="B99" s="529" t="s">
        <v>124</v>
      </c>
      <c r="C99" s="28" t="s">
        <v>1</v>
      </c>
      <c r="D99" s="15" t="s">
        <v>61</v>
      </c>
      <c r="E99" s="15" t="s">
        <v>86</v>
      </c>
      <c r="F99" s="676" t="s">
        <v>79</v>
      </c>
      <c r="G99" s="677" t="s">
        <v>87</v>
      </c>
      <c r="H99" s="677" t="s">
        <v>38</v>
      </c>
      <c r="I99" s="678" t="s">
        <v>43</v>
      </c>
      <c r="J99" s="15"/>
      <c r="K99" s="29">
        <f t="shared" ref="K99:N100" si="32">K100</f>
        <v>1718.7</v>
      </c>
      <c r="L99" s="29">
        <f t="shared" si="32"/>
        <v>0</v>
      </c>
      <c r="M99" s="29">
        <f t="shared" si="32"/>
        <v>1718.7</v>
      </c>
      <c r="N99" s="29">
        <f t="shared" si="32"/>
        <v>1718.7</v>
      </c>
    </row>
    <row r="100" spans="1:14" s="116" customFormat="1" ht="36" x14ac:dyDescent="0.35">
      <c r="A100" s="16"/>
      <c r="B100" s="529" t="s">
        <v>125</v>
      </c>
      <c r="C100" s="28" t="s">
        <v>1</v>
      </c>
      <c r="D100" s="15" t="s">
        <v>61</v>
      </c>
      <c r="E100" s="15" t="s">
        <v>86</v>
      </c>
      <c r="F100" s="676" t="s">
        <v>79</v>
      </c>
      <c r="G100" s="677" t="s">
        <v>87</v>
      </c>
      <c r="H100" s="677" t="s">
        <v>38</v>
      </c>
      <c r="I100" s="678" t="s">
        <v>88</v>
      </c>
      <c r="J100" s="15"/>
      <c r="K100" s="29">
        <f t="shared" si="32"/>
        <v>1718.7</v>
      </c>
      <c r="L100" s="29">
        <f t="shared" si="32"/>
        <v>0</v>
      </c>
      <c r="M100" s="29">
        <f t="shared" si="32"/>
        <v>1718.7</v>
      </c>
      <c r="N100" s="29">
        <f t="shared" si="32"/>
        <v>1718.7</v>
      </c>
    </row>
    <row r="101" spans="1:14" s="116" customFormat="1" ht="54" x14ac:dyDescent="0.35">
      <c r="A101" s="16"/>
      <c r="B101" s="497" t="s">
        <v>53</v>
      </c>
      <c r="C101" s="28" t="s">
        <v>1</v>
      </c>
      <c r="D101" s="15" t="s">
        <v>61</v>
      </c>
      <c r="E101" s="15" t="s">
        <v>86</v>
      </c>
      <c r="F101" s="676" t="s">
        <v>79</v>
      </c>
      <c r="G101" s="677" t="s">
        <v>87</v>
      </c>
      <c r="H101" s="677" t="s">
        <v>38</v>
      </c>
      <c r="I101" s="678" t="s">
        <v>88</v>
      </c>
      <c r="J101" s="15" t="s">
        <v>54</v>
      </c>
      <c r="K101" s="29">
        <v>1718.7</v>
      </c>
      <c r="L101" s="29">
        <f>M101-K101</f>
        <v>0</v>
      </c>
      <c r="M101" s="29">
        <v>1718.7</v>
      </c>
      <c r="N101" s="29">
        <v>1718.7</v>
      </c>
    </row>
    <row r="102" spans="1:14" s="116" customFormat="1" ht="72" x14ac:dyDescent="0.35">
      <c r="A102" s="16"/>
      <c r="B102" s="545" t="s">
        <v>364</v>
      </c>
      <c r="C102" s="28" t="s">
        <v>1</v>
      </c>
      <c r="D102" s="15" t="s">
        <v>61</v>
      </c>
      <c r="E102" s="15" t="s">
        <v>86</v>
      </c>
      <c r="F102" s="676" t="s">
        <v>79</v>
      </c>
      <c r="G102" s="677" t="s">
        <v>29</v>
      </c>
      <c r="H102" s="677" t="s">
        <v>42</v>
      </c>
      <c r="I102" s="678" t="s">
        <v>43</v>
      </c>
      <c r="J102" s="15"/>
      <c r="K102" s="29">
        <f t="shared" ref="K102:N103" si="33">K103</f>
        <v>12651.7</v>
      </c>
      <c r="L102" s="29">
        <f t="shared" si="33"/>
        <v>0</v>
      </c>
      <c r="M102" s="29">
        <f t="shared" si="33"/>
        <v>12651.7</v>
      </c>
      <c r="N102" s="29">
        <f t="shared" si="33"/>
        <v>12652.2</v>
      </c>
    </row>
    <row r="103" spans="1:14" s="116" customFormat="1" ht="72" x14ac:dyDescent="0.35">
      <c r="A103" s="16"/>
      <c r="B103" s="529" t="s">
        <v>319</v>
      </c>
      <c r="C103" s="28" t="s">
        <v>1</v>
      </c>
      <c r="D103" s="15" t="s">
        <v>61</v>
      </c>
      <c r="E103" s="15" t="s">
        <v>86</v>
      </c>
      <c r="F103" s="676" t="s">
        <v>79</v>
      </c>
      <c r="G103" s="677" t="s">
        <v>29</v>
      </c>
      <c r="H103" s="677" t="s">
        <v>36</v>
      </c>
      <c r="I103" s="678" t="s">
        <v>43</v>
      </c>
      <c r="J103" s="15"/>
      <c r="K103" s="29">
        <f t="shared" si="33"/>
        <v>12651.7</v>
      </c>
      <c r="L103" s="29">
        <f t="shared" si="33"/>
        <v>0</v>
      </c>
      <c r="M103" s="29">
        <f t="shared" si="33"/>
        <v>12651.7</v>
      </c>
      <c r="N103" s="29">
        <f t="shared" si="33"/>
        <v>12652.2</v>
      </c>
    </row>
    <row r="104" spans="1:14" s="116" customFormat="1" ht="36" x14ac:dyDescent="0.35">
      <c r="A104" s="16"/>
      <c r="B104" s="573" t="s">
        <v>454</v>
      </c>
      <c r="C104" s="28" t="s">
        <v>1</v>
      </c>
      <c r="D104" s="15" t="s">
        <v>61</v>
      </c>
      <c r="E104" s="15" t="s">
        <v>86</v>
      </c>
      <c r="F104" s="676" t="s">
        <v>79</v>
      </c>
      <c r="G104" s="677" t="s">
        <v>29</v>
      </c>
      <c r="H104" s="677" t="s">
        <v>36</v>
      </c>
      <c r="I104" s="678" t="s">
        <v>89</v>
      </c>
      <c r="J104" s="15"/>
      <c r="K104" s="29">
        <f>K105+K106+K107</f>
        <v>12651.7</v>
      </c>
      <c r="L104" s="29">
        <f t="shared" ref="L104" si="34">L105+L106+L107</f>
        <v>0</v>
      </c>
      <c r="M104" s="29">
        <f>M105+M106+M107</f>
        <v>12651.7</v>
      </c>
      <c r="N104" s="29">
        <f>N105+N106+N107</f>
        <v>12652.2</v>
      </c>
    </row>
    <row r="105" spans="1:14" s="116" customFormat="1" ht="108" x14ac:dyDescent="0.35">
      <c r="A105" s="16"/>
      <c r="B105" s="497" t="s">
        <v>48</v>
      </c>
      <c r="C105" s="28" t="s">
        <v>1</v>
      </c>
      <c r="D105" s="15" t="s">
        <v>61</v>
      </c>
      <c r="E105" s="15" t="s">
        <v>86</v>
      </c>
      <c r="F105" s="676" t="s">
        <v>79</v>
      </c>
      <c r="G105" s="677" t="s">
        <v>29</v>
      </c>
      <c r="H105" s="677" t="s">
        <v>36</v>
      </c>
      <c r="I105" s="678" t="s">
        <v>89</v>
      </c>
      <c r="J105" s="15" t="s">
        <v>49</v>
      </c>
      <c r="K105" s="29">
        <v>9327.7000000000007</v>
      </c>
      <c r="L105" s="29">
        <f>M105-K105</f>
        <v>0</v>
      </c>
      <c r="M105" s="29">
        <v>9327.7000000000007</v>
      </c>
      <c r="N105" s="29">
        <v>9327.7000000000007</v>
      </c>
    </row>
    <row r="106" spans="1:14" s="116" customFormat="1" ht="54" x14ac:dyDescent="0.35">
      <c r="A106" s="16"/>
      <c r="B106" s="497" t="s">
        <v>53</v>
      </c>
      <c r="C106" s="28" t="s">
        <v>1</v>
      </c>
      <c r="D106" s="15" t="s">
        <v>61</v>
      </c>
      <c r="E106" s="15" t="s">
        <v>86</v>
      </c>
      <c r="F106" s="676" t="s">
        <v>79</v>
      </c>
      <c r="G106" s="677" t="s">
        <v>29</v>
      </c>
      <c r="H106" s="677" t="s">
        <v>36</v>
      </c>
      <c r="I106" s="678" t="s">
        <v>89</v>
      </c>
      <c r="J106" s="15" t="s">
        <v>54</v>
      </c>
      <c r="K106" s="29">
        <v>3320.7</v>
      </c>
      <c r="L106" s="29">
        <f>M106-K106</f>
        <v>0</v>
      </c>
      <c r="M106" s="29">
        <v>3320.7</v>
      </c>
      <c r="N106" s="29">
        <v>3321.2</v>
      </c>
    </row>
    <row r="107" spans="1:14" s="116" customFormat="1" ht="18" x14ac:dyDescent="0.35">
      <c r="A107" s="16"/>
      <c r="B107" s="497" t="s">
        <v>55</v>
      </c>
      <c r="C107" s="28" t="s">
        <v>1</v>
      </c>
      <c r="D107" s="15" t="s">
        <v>61</v>
      </c>
      <c r="E107" s="15" t="s">
        <v>86</v>
      </c>
      <c r="F107" s="676" t="s">
        <v>79</v>
      </c>
      <c r="G107" s="677" t="s">
        <v>29</v>
      </c>
      <c r="H107" s="677" t="s">
        <v>36</v>
      </c>
      <c r="I107" s="678" t="s">
        <v>89</v>
      </c>
      <c r="J107" s="15" t="s">
        <v>56</v>
      </c>
      <c r="K107" s="29">
        <v>3.3</v>
      </c>
      <c r="L107" s="29">
        <f>M107-K107</f>
        <v>0</v>
      </c>
      <c r="M107" s="29">
        <v>3.3</v>
      </c>
      <c r="N107" s="29">
        <v>3.3</v>
      </c>
    </row>
    <row r="108" spans="1:14" s="116" customFormat="1" ht="54" x14ac:dyDescent="0.35">
      <c r="A108" s="16"/>
      <c r="B108" s="511" t="s">
        <v>467</v>
      </c>
      <c r="C108" s="28" t="s">
        <v>1</v>
      </c>
      <c r="D108" s="15" t="s">
        <v>61</v>
      </c>
      <c r="E108" s="15" t="s">
        <v>86</v>
      </c>
      <c r="F108" s="676" t="s">
        <v>79</v>
      </c>
      <c r="G108" s="677" t="s">
        <v>30</v>
      </c>
      <c r="H108" s="677" t="s">
        <v>42</v>
      </c>
      <c r="I108" s="678" t="s">
        <v>43</v>
      </c>
      <c r="J108" s="15"/>
      <c r="K108" s="29">
        <f t="shared" ref="K108:N110" si="35">K109</f>
        <v>28.7</v>
      </c>
      <c r="L108" s="29">
        <f t="shared" si="35"/>
        <v>0</v>
      </c>
      <c r="M108" s="29">
        <f t="shared" si="35"/>
        <v>28.7</v>
      </c>
      <c r="N108" s="29">
        <f t="shared" si="35"/>
        <v>28.7</v>
      </c>
    </row>
    <row r="109" spans="1:14" s="116" customFormat="1" ht="72" x14ac:dyDescent="0.35">
      <c r="A109" s="16"/>
      <c r="B109" s="512" t="s">
        <v>468</v>
      </c>
      <c r="C109" s="28" t="s">
        <v>1</v>
      </c>
      <c r="D109" s="15" t="s">
        <v>61</v>
      </c>
      <c r="E109" s="15" t="s">
        <v>86</v>
      </c>
      <c r="F109" s="676" t="s">
        <v>79</v>
      </c>
      <c r="G109" s="677" t="s">
        <v>30</v>
      </c>
      <c r="H109" s="677" t="s">
        <v>36</v>
      </c>
      <c r="I109" s="678" t="s">
        <v>43</v>
      </c>
      <c r="J109" s="15"/>
      <c r="K109" s="29">
        <f t="shared" si="35"/>
        <v>28.7</v>
      </c>
      <c r="L109" s="29">
        <f t="shared" si="35"/>
        <v>0</v>
      </c>
      <c r="M109" s="29">
        <f t="shared" si="35"/>
        <v>28.7</v>
      </c>
      <c r="N109" s="29">
        <f t="shared" si="35"/>
        <v>28.7</v>
      </c>
    </row>
    <row r="110" spans="1:14" s="116" customFormat="1" ht="54" x14ac:dyDescent="0.35">
      <c r="A110" s="16"/>
      <c r="B110" s="513" t="s">
        <v>83</v>
      </c>
      <c r="C110" s="28" t="s">
        <v>1</v>
      </c>
      <c r="D110" s="15" t="s">
        <v>61</v>
      </c>
      <c r="E110" s="15" t="s">
        <v>86</v>
      </c>
      <c r="F110" s="676" t="s">
        <v>79</v>
      </c>
      <c r="G110" s="677" t="s">
        <v>30</v>
      </c>
      <c r="H110" s="677" t="s">
        <v>36</v>
      </c>
      <c r="I110" s="678" t="s">
        <v>84</v>
      </c>
      <c r="J110" s="15"/>
      <c r="K110" s="29">
        <f t="shared" si="35"/>
        <v>28.7</v>
      </c>
      <c r="L110" s="29">
        <f t="shared" si="35"/>
        <v>0</v>
      </c>
      <c r="M110" s="29">
        <f t="shared" si="35"/>
        <v>28.7</v>
      </c>
      <c r="N110" s="29">
        <f t="shared" si="35"/>
        <v>28.7</v>
      </c>
    </row>
    <row r="111" spans="1:14" s="116" customFormat="1" ht="54" x14ac:dyDescent="0.35">
      <c r="A111" s="16"/>
      <c r="B111" s="514" t="s">
        <v>53</v>
      </c>
      <c r="C111" s="28" t="s">
        <v>1</v>
      </c>
      <c r="D111" s="15" t="s">
        <v>61</v>
      </c>
      <c r="E111" s="15" t="s">
        <v>86</v>
      </c>
      <c r="F111" s="676" t="s">
        <v>79</v>
      </c>
      <c r="G111" s="677" t="s">
        <v>30</v>
      </c>
      <c r="H111" s="677" t="s">
        <v>36</v>
      </c>
      <c r="I111" s="678" t="s">
        <v>84</v>
      </c>
      <c r="J111" s="15" t="s">
        <v>54</v>
      </c>
      <c r="K111" s="29">
        <v>28.7</v>
      </c>
      <c r="L111" s="29">
        <f>M111-K111</f>
        <v>0</v>
      </c>
      <c r="M111" s="29">
        <v>28.7</v>
      </c>
      <c r="N111" s="29">
        <v>28.7</v>
      </c>
    </row>
    <row r="112" spans="1:14" s="116" customFormat="1" ht="18" x14ac:dyDescent="0.35">
      <c r="A112" s="16"/>
      <c r="B112" s="497" t="s">
        <v>90</v>
      </c>
      <c r="C112" s="28" t="s">
        <v>1</v>
      </c>
      <c r="D112" s="15" t="s">
        <v>50</v>
      </c>
      <c r="E112" s="15"/>
      <c r="F112" s="676"/>
      <c r="G112" s="677"/>
      <c r="H112" s="677"/>
      <c r="I112" s="678"/>
      <c r="J112" s="15"/>
      <c r="K112" s="29">
        <f>K113+K122+K128</f>
        <v>32348.299999999996</v>
      </c>
      <c r="L112" s="29">
        <f t="shared" ref="L112" si="36">L113+L122+L128</f>
        <v>0</v>
      </c>
      <c r="M112" s="29">
        <f>M113+M122+M128</f>
        <v>32348.299999999996</v>
      </c>
      <c r="N112" s="29">
        <f>N113+N122+N128</f>
        <v>32769.4</v>
      </c>
    </row>
    <row r="113" spans="1:14" s="12" customFormat="1" ht="18" x14ac:dyDescent="0.35">
      <c r="A113" s="16"/>
      <c r="B113" s="497" t="s">
        <v>91</v>
      </c>
      <c r="C113" s="28" t="s">
        <v>1</v>
      </c>
      <c r="D113" s="15" t="s">
        <v>50</v>
      </c>
      <c r="E113" s="15" t="s">
        <v>63</v>
      </c>
      <c r="F113" s="676"/>
      <c r="G113" s="677"/>
      <c r="H113" s="677"/>
      <c r="I113" s="678"/>
      <c r="J113" s="15"/>
      <c r="K113" s="29">
        <f t="shared" ref="K113:N114" si="37">K114</f>
        <v>24038.799999999999</v>
      </c>
      <c r="L113" s="29">
        <f t="shared" si="37"/>
        <v>0</v>
      </c>
      <c r="M113" s="29">
        <f t="shared" si="37"/>
        <v>24038.799999999999</v>
      </c>
      <c r="N113" s="29">
        <f t="shared" si="37"/>
        <v>24170.7</v>
      </c>
    </row>
    <row r="114" spans="1:14" s="116" customFormat="1" ht="54" x14ac:dyDescent="0.35">
      <c r="A114" s="16"/>
      <c r="B114" s="497" t="s">
        <v>92</v>
      </c>
      <c r="C114" s="28" t="s">
        <v>1</v>
      </c>
      <c r="D114" s="15" t="s">
        <v>50</v>
      </c>
      <c r="E114" s="15" t="s">
        <v>63</v>
      </c>
      <c r="F114" s="676" t="s">
        <v>65</v>
      </c>
      <c r="G114" s="677" t="s">
        <v>41</v>
      </c>
      <c r="H114" s="677" t="s">
        <v>42</v>
      </c>
      <c r="I114" s="678" t="s">
        <v>43</v>
      </c>
      <c r="J114" s="15"/>
      <c r="K114" s="29">
        <f t="shared" si="37"/>
        <v>24038.799999999999</v>
      </c>
      <c r="L114" s="29">
        <f t="shared" si="37"/>
        <v>0</v>
      </c>
      <c r="M114" s="29">
        <f t="shared" si="37"/>
        <v>24038.799999999999</v>
      </c>
      <c r="N114" s="29">
        <f t="shared" si="37"/>
        <v>24170.7</v>
      </c>
    </row>
    <row r="115" spans="1:14" s="12" customFormat="1" ht="36" x14ac:dyDescent="0.35">
      <c r="A115" s="16"/>
      <c r="B115" s="497" t="s">
        <v>335</v>
      </c>
      <c r="C115" s="28" t="s">
        <v>1</v>
      </c>
      <c r="D115" s="15" t="s">
        <v>50</v>
      </c>
      <c r="E115" s="15" t="s">
        <v>63</v>
      </c>
      <c r="F115" s="676" t="s">
        <v>65</v>
      </c>
      <c r="G115" s="677" t="s">
        <v>44</v>
      </c>
      <c r="H115" s="677" t="s">
        <v>42</v>
      </c>
      <c r="I115" s="678" t="s">
        <v>43</v>
      </c>
      <c r="J115" s="15"/>
      <c r="K115" s="29">
        <f>K116+K119</f>
        <v>24038.799999999999</v>
      </c>
      <c r="L115" s="29">
        <f t="shared" ref="L115" si="38">L116+L119</f>
        <v>0</v>
      </c>
      <c r="M115" s="29">
        <f>M116+M119</f>
        <v>24038.799999999999</v>
      </c>
      <c r="N115" s="29">
        <f>N116+N119</f>
        <v>24170.7</v>
      </c>
    </row>
    <row r="116" spans="1:14" s="12" customFormat="1" ht="54" x14ac:dyDescent="0.35">
      <c r="A116" s="16"/>
      <c r="B116" s="497" t="s">
        <v>93</v>
      </c>
      <c r="C116" s="28" t="s">
        <v>1</v>
      </c>
      <c r="D116" s="15" t="s">
        <v>50</v>
      </c>
      <c r="E116" s="15" t="s">
        <v>63</v>
      </c>
      <c r="F116" s="676" t="s">
        <v>65</v>
      </c>
      <c r="G116" s="677" t="s">
        <v>44</v>
      </c>
      <c r="H116" s="677" t="s">
        <v>36</v>
      </c>
      <c r="I116" s="678" t="s">
        <v>43</v>
      </c>
      <c r="J116" s="15"/>
      <c r="K116" s="29">
        <f t="shared" ref="K116:N117" si="39">K117</f>
        <v>20740</v>
      </c>
      <c r="L116" s="29">
        <f t="shared" si="39"/>
        <v>0</v>
      </c>
      <c r="M116" s="29">
        <f t="shared" si="39"/>
        <v>20740</v>
      </c>
      <c r="N116" s="29">
        <f t="shared" si="39"/>
        <v>20740</v>
      </c>
    </row>
    <row r="117" spans="1:14" s="12" customFormat="1" ht="72" x14ac:dyDescent="0.35">
      <c r="A117" s="16"/>
      <c r="B117" s="544" t="s">
        <v>404</v>
      </c>
      <c r="C117" s="28" t="s">
        <v>1</v>
      </c>
      <c r="D117" s="15" t="s">
        <v>50</v>
      </c>
      <c r="E117" s="15" t="s">
        <v>63</v>
      </c>
      <c r="F117" s="676" t="s">
        <v>65</v>
      </c>
      <c r="G117" s="677" t="s">
        <v>44</v>
      </c>
      <c r="H117" s="677" t="s">
        <v>36</v>
      </c>
      <c r="I117" s="678" t="s">
        <v>59</v>
      </c>
      <c r="J117" s="15"/>
      <c r="K117" s="29">
        <f t="shared" si="39"/>
        <v>20740</v>
      </c>
      <c r="L117" s="29">
        <f t="shared" si="39"/>
        <v>0</v>
      </c>
      <c r="M117" s="29">
        <f t="shared" si="39"/>
        <v>20740</v>
      </c>
      <c r="N117" s="29">
        <f t="shared" si="39"/>
        <v>20740</v>
      </c>
    </row>
    <row r="118" spans="1:14" s="116" customFormat="1" ht="18" x14ac:dyDescent="0.35">
      <c r="A118" s="16"/>
      <c r="B118" s="497" t="s">
        <v>55</v>
      </c>
      <c r="C118" s="28" t="s">
        <v>1</v>
      </c>
      <c r="D118" s="15" t="s">
        <v>50</v>
      </c>
      <c r="E118" s="15" t="s">
        <v>63</v>
      </c>
      <c r="F118" s="676" t="s">
        <v>65</v>
      </c>
      <c r="G118" s="677" t="s">
        <v>44</v>
      </c>
      <c r="H118" s="677" t="s">
        <v>36</v>
      </c>
      <c r="I118" s="678" t="s">
        <v>59</v>
      </c>
      <c r="J118" s="15" t="s">
        <v>56</v>
      </c>
      <c r="K118" s="29">
        <v>20740</v>
      </c>
      <c r="L118" s="29">
        <f>M118-K118</f>
        <v>0</v>
      </c>
      <c r="M118" s="29">
        <v>20740</v>
      </c>
      <c r="N118" s="29">
        <v>20740</v>
      </c>
    </row>
    <row r="119" spans="1:14" s="12" customFormat="1" ht="54" x14ac:dyDescent="0.35">
      <c r="A119" s="16"/>
      <c r="B119" s="497" t="s">
        <v>94</v>
      </c>
      <c r="C119" s="28" t="s">
        <v>1</v>
      </c>
      <c r="D119" s="15" t="s">
        <v>50</v>
      </c>
      <c r="E119" s="15" t="s">
        <v>63</v>
      </c>
      <c r="F119" s="676" t="s">
        <v>65</v>
      </c>
      <c r="G119" s="677" t="s">
        <v>44</v>
      </c>
      <c r="H119" s="677" t="s">
        <v>38</v>
      </c>
      <c r="I119" s="678" t="s">
        <v>43</v>
      </c>
      <c r="J119" s="15"/>
      <c r="K119" s="29">
        <f t="shared" ref="K119:N120" si="40">K120</f>
        <v>3298.8</v>
      </c>
      <c r="L119" s="29">
        <f t="shared" si="40"/>
        <v>0</v>
      </c>
      <c r="M119" s="29">
        <f t="shared" si="40"/>
        <v>3298.8</v>
      </c>
      <c r="N119" s="29">
        <f t="shared" si="40"/>
        <v>3430.7</v>
      </c>
    </row>
    <row r="120" spans="1:14" s="12" customFormat="1" ht="180" x14ac:dyDescent="0.35">
      <c r="A120" s="16"/>
      <c r="B120" s="497" t="s">
        <v>492</v>
      </c>
      <c r="C120" s="28" t="s">
        <v>1</v>
      </c>
      <c r="D120" s="15" t="s">
        <v>50</v>
      </c>
      <c r="E120" s="15" t="s">
        <v>63</v>
      </c>
      <c r="F120" s="676" t="s">
        <v>65</v>
      </c>
      <c r="G120" s="677" t="s">
        <v>44</v>
      </c>
      <c r="H120" s="677" t="s">
        <v>38</v>
      </c>
      <c r="I120" s="678" t="s">
        <v>95</v>
      </c>
      <c r="J120" s="15"/>
      <c r="K120" s="29">
        <f t="shared" si="40"/>
        <v>3298.8</v>
      </c>
      <c r="L120" s="29">
        <f t="shared" si="40"/>
        <v>0</v>
      </c>
      <c r="M120" s="29">
        <f t="shared" si="40"/>
        <v>3298.8</v>
      </c>
      <c r="N120" s="29">
        <f t="shared" si="40"/>
        <v>3430.7</v>
      </c>
    </row>
    <row r="121" spans="1:14" s="116" customFormat="1" ht="54" x14ac:dyDescent="0.35">
      <c r="A121" s="16"/>
      <c r="B121" s="497" t="s">
        <v>53</v>
      </c>
      <c r="C121" s="28" t="s">
        <v>1</v>
      </c>
      <c r="D121" s="15" t="s">
        <v>50</v>
      </c>
      <c r="E121" s="15" t="s">
        <v>63</v>
      </c>
      <c r="F121" s="676" t="s">
        <v>65</v>
      </c>
      <c r="G121" s="677" t="s">
        <v>44</v>
      </c>
      <c r="H121" s="677" t="s">
        <v>38</v>
      </c>
      <c r="I121" s="678" t="s">
        <v>95</v>
      </c>
      <c r="J121" s="15" t="s">
        <v>54</v>
      </c>
      <c r="K121" s="29">
        <v>3298.8</v>
      </c>
      <c r="L121" s="29">
        <f>M121-K121</f>
        <v>0</v>
      </c>
      <c r="M121" s="29">
        <v>3298.8</v>
      </c>
      <c r="N121" s="29">
        <v>3430.7</v>
      </c>
    </row>
    <row r="122" spans="1:14" s="12" customFormat="1" ht="18" x14ac:dyDescent="0.35">
      <c r="A122" s="16"/>
      <c r="B122" s="545" t="s">
        <v>96</v>
      </c>
      <c r="C122" s="28" t="s">
        <v>1</v>
      </c>
      <c r="D122" s="15" t="s">
        <v>50</v>
      </c>
      <c r="E122" s="15" t="s">
        <v>77</v>
      </c>
      <c r="F122" s="676"/>
      <c r="G122" s="677"/>
      <c r="H122" s="677"/>
      <c r="I122" s="678"/>
      <c r="J122" s="15"/>
      <c r="K122" s="29">
        <f t="shared" ref="K122:N126" si="41">K123</f>
        <v>7183.4</v>
      </c>
      <c r="L122" s="29">
        <f t="shared" si="41"/>
        <v>0</v>
      </c>
      <c r="M122" s="29">
        <f t="shared" si="41"/>
        <v>7183.4</v>
      </c>
      <c r="N122" s="29">
        <f t="shared" si="41"/>
        <v>7472.6</v>
      </c>
    </row>
    <row r="123" spans="1:14" s="116" customFormat="1" ht="54" x14ac:dyDescent="0.35">
      <c r="A123" s="16"/>
      <c r="B123" s="497" t="s">
        <v>97</v>
      </c>
      <c r="C123" s="28" t="s">
        <v>1</v>
      </c>
      <c r="D123" s="15" t="s">
        <v>50</v>
      </c>
      <c r="E123" s="15" t="s">
        <v>77</v>
      </c>
      <c r="F123" s="676" t="s">
        <v>98</v>
      </c>
      <c r="G123" s="677" t="s">
        <v>41</v>
      </c>
      <c r="H123" s="677" t="s">
        <v>42</v>
      </c>
      <c r="I123" s="678" t="s">
        <v>43</v>
      </c>
      <c r="J123" s="15"/>
      <c r="K123" s="29">
        <f t="shared" si="41"/>
        <v>7183.4</v>
      </c>
      <c r="L123" s="29">
        <f t="shared" si="41"/>
        <v>0</v>
      </c>
      <c r="M123" s="29">
        <f t="shared" si="41"/>
        <v>7183.4</v>
      </c>
      <c r="N123" s="29">
        <f t="shared" si="41"/>
        <v>7472.6</v>
      </c>
    </row>
    <row r="124" spans="1:14" s="12" customFormat="1" ht="36" x14ac:dyDescent="0.35">
      <c r="A124" s="16"/>
      <c r="B124" s="497" t="s">
        <v>335</v>
      </c>
      <c r="C124" s="28" t="s">
        <v>1</v>
      </c>
      <c r="D124" s="15" t="s">
        <v>50</v>
      </c>
      <c r="E124" s="15" t="s">
        <v>77</v>
      </c>
      <c r="F124" s="676" t="s">
        <v>98</v>
      </c>
      <c r="G124" s="677" t="s">
        <v>44</v>
      </c>
      <c r="H124" s="677" t="s">
        <v>42</v>
      </c>
      <c r="I124" s="678" t="s">
        <v>43</v>
      </c>
      <c r="J124" s="15"/>
      <c r="K124" s="29">
        <f t="shared" si="41"/>
        <v>7183.4</v>
      </c>
      <c r="L124" s="29">
        <f t="shared" si="41"/>
        <v>0</v>
      </c>
      <c r="M124" s="29">
        <f t="shared" si="41"/>
        <v>7183.4</v>
      </c>
      <c r="N124" s="29">
        <f t="shared" si="41"/>
        <v>7472.6</v>
      </c>
    </row>
    <row r="125" spans="1:14" s="12" customFormat="1" ht="90" x14ac:dyDescent="0.35">
      <c r="A125" s="16"/>
      <c r="B125" s="497" t="s">
        <v>99</v>
      </c>
      <c r="C125" s="28" t="s">
        <v>1</v>
      </c>
      <c r="D125" s="15" t="s">
        <v>50</v>
      </c>
      <c r="E125" s="15" t="s">
        <v>77</v>
      </c>
      <c r="F125" s="676" t="s">
        <v>98</v>
      </c>
      <c r="G125" s="677" t="s">
        <v>44</v>
      </c>
      <c r="H125" s="677" t="s">
        <v>36</v>
      </c>
      <c r="I125" s="678" t="s">
        <v>43</v>
      </c>
      <c r="J125" s="15"/>
      <c r="K125" s="29">
        <f t="shared" si="41"/>
        <v>7183.4</v>
      </c>
      <c r="L125" s="29">
        <f t="shared" si="41"/>
        <v>0</v>
      </c>
      <c r="M125" s="29">
        <f t="shared" si="41"/>
        <v>7183.4</v>
      </c>
      <c r="N125" s="29">
        <f t="shared" si="41"/>
        <v>7472.6</v>
      </c>
    </row>
    <row r="126" spans="1:14" s="12" customFormat="1" ht="72" x14ac:dyDescent="0.35">
      <c r="A126" s="16"/>
      <c r="B126" s="546" t="s">
        <v>100</v>
      </c>
      <c r="C126" s="28" t="s">
        <v>1</v>
      </c>
      <c r="D126" s="15" t="s">
        <v>50</v>
      </c>
      <c r="E126" s="15" t="s">
        <v>77</v>
      </c>
      <c r="F126" s="676" t="s">
        <v>98</v>
      </c>
      <c r="G126" s="677" t="s">
        <v>44</v>
      </c>
      <c r="H126" s="677" t="s">
        <v>36</v>
      </c>
      <c r="I126" s="678" t="s">
        <v>101</v>
      </c>
      <c r="J126" s="15"/>
      <c r="K126" s="29">
        <f t="shared" si="41"/>
        <v>7183.4</v>
      </c>
      <c r="L126" s="29">
        <f t="shared" si="41"/>
        <v>0</v>
      </c>
      <c r="M126" s="29">
        <f t="shared" si="41"/>
        <v>7183.4</v>
      </c>
      <c r="N126" s="29">
        <f t="shared" si="41"/>
        <v>7472.6</v>
      </c>
    </row>
    <row r="127" spans="1:14" s="116" customFormat="1" ht="54" x14ac:dyDescent="0.35">
      <c r="A127" s="16"/>
      <c r="B127" s="497" t="s">
        <v>53</v>
      </c>
      <c r="C127" s="28" t="s">
        <v>1</v>
      </c>
      <c r="D127" s="15" t="s">
        <v>50</v>
      </c>
      <c r="E127" s="15" t="s">
        <v>77</v>
      </c>
      <c r="F127" s="676" t="s">
        <v>98</v>
      </c>
      <c r="G127" s="677" t="s">
        <v>44</v>
      </c>
      <c r="H127" s="677" t="s">
        <v>36</v>
      </c>
      <c r="I127" s="678" t="s">
        <v>101</v>
      </c>
      <c r="J127" s="15" t="s">
        <v>54</v>
      </c>
      <c r="K127" s="29">
        <v>7183.4</v>
      </c>
      <c r="L127" s="29">
        <f>M127-K127</f>
        <v>0</v>
      </c>
      <c r="M127" s="29">
        <v>7183.4</v>
      </c>
      <c r="N127" s="29">
        <v>7472.6</v>
      </c>
    </row>
    <row r="128" spans="1:14" s="12" customFormat="1" ht="36" x14ac:dyDescent="0.35">
      <c r="A128" s="16"/>
      <c r="B128" s="545" t="s">
        <v>104</v>
      </c>
      <c r="C128" s="28" t="s">
        <v>1</v>
      </c>
      <c r="D128" s="15" t="s">
        <v>50</v>
      </c>
      <c r="E128" s="15" t="s">
        <v>98</v>
      </c>
      <c r="F128" s="676"/>
      <c r="G128" s="677"/>
      <c r="H128" s="677"/>
      <c r="I128" s="678"/>
      <c r="J128" s="15"/>
      <c r="K128" s="29">
        <f>K129+K138</f>
        <v>1126.0999999999999</v>
      </c>
      <c r="L128" s="29">
        <f t="shared" ref="L128" si="42">L129+L138</f>
        <v>0</v>
      </c>
      <c r="M128" s="29">
        <f>M129+M138</f>
        <v>1126.0999999999999</v>
      </c>
      <c r="N128" s="29">
        <f>N129+N138</f>
        <v>1126.0999999999999</v>
      </c>
    </row>
    <row r="129" spans="1:14" s="116" customFormat="1" ht="72" x14ac:dyDescent="0.35">
      <c r="A129" s="16"/>
      <c r="B129" s="497" t="s">
        <v>105</v>
      </c>
      <c r="C129" s="28" t="s">
        <v>1</v>
      </c>
      <c r="D129" s="15" t="s">
        <v>50</v>
      </c>
      <c r="E129" s="15" t="s">
        <v>98</v>
      </c>
      <c r="F129" s="676" t="s">
        <v>69</v>
      </c>
      <c r="G129" s="677" t="s">
        <v>41</v>
      </c>
      <c r="H129" s="677" t="s">
        <v>42</v>
      </c>
      <c r="I129" s="678" t="s">
        <v>43</v>
      </c>
      <c r="J129" s="15"/>
      <c r="K129" s="29">
        <f>K134+K130</f>
        <v>1076.0999999999999</v>
      </c>
      <c r="L129" s="29">
        <f t="shared" ref="L129" si="43">L134+L130</f>
        <v>0</v>
      </c>
      <c r="M129" s="29">
        <f>M134+M130</f>
        <v>1076.0999999999999</v>
      </c>
      <c r="N129" s="29">
        <f>N134+N130</f>
        <v>1076.0999999999999</v>
      </c>
    </row>
    <row r="130" spans="1:14" s="116" customFormat="1" ht="54" x14ac:dyDescent="0.35">
      <c r="A130" s="16"/>
      <c r="B130" s="545" t="s">
        <v>106</v>
      </c>
      <c r="C130" s="28" t="s">
        <v>1</v>
      </c>
      <c r="D130" s="15" t="s">
        <v>50</v>
      </c>
      <c r="E130" s="15" t="s">
        <v>98</v>
      </c>
      <c r="F130" s="676" t="s">
        <v>69</v>
      </c>
      <c r="G130" s="677" t="s">
        <v>44</v>
      </c>
      <c r="H130" s="677" t="s">
        <v>42</v>
      </c>
      <c r="I130" s="678" t="s">
        <v>43</v>
      </c>
      <c r="J130" s="15"/>
      <c r="K130" s="29">
        <f t="shared" ref="K130:N132" si="44">K131</f>
        <v>350</v>
      </c>
      <c r="L130" s="29">
        <f t="shared" si="44"/>
        <v>0</v>
      </c>
      <c r="M130" s="29">
        <f t="shared" si="44"/>
        <v>350</v>
      </c>
      <c r="N130" s="29">
        <f t="shared" si="44"/>
        <v>350</v>
      </c>
    </row>
    <row r="131" spans="1:14" s="116" customFormat="1" ht="36" x14ac:dyDescent="0.35">
      <c r="A131" s="16"/>
      <c r="B131" s="497" t="s">
        <v>107</v>
      </c>
      <c r="C131" s="28" t="s">
        <v>1</v>
      </c>
      <c r="D131" s="15" t="s">
        <v>50</v>
      </c>
      <c r="E131" s="15" t="s">
        <v>98</v>
      </c>
      <c r="F131" s="676" t="s">
        <v>69</v>
      </c>
      <c r="G131" s="677" t="s">
        <v>44</v>
      </c>
      <c r="H131" s="677" t="s">
        <v>36</v>
      </c>
      <c r="I131" s="678" t="s">
        <v>43</v>
      </c>
      <c r="J131" s="15"/>
      <c r="K131" s="29">
        <f t="shared" si="44"/>
        <v>350</v>
      </c>
      <c r="L131" s="29">
        <f t="shared" si="44"/>
        <v>0</v>
      </c>
      <c r="M131" s="29">
        <f t="shared" si="44"/>
        <v>350</v>
      </c>
      <c r="N131" s="29">
        <f t="shared" si="44"/>
        <v>350</v>
      </c>
    </row>
    <row r="132" spans="1:14" s="116" customFormat="1" ht="36" x14ac:dyDescent="0.35">
      <c r="A132" s="16"/>
      <c r="B132" s="545" t="s">
        <v>108</v>
      </c>
      <c r="C132" s="28" t="s">
        <v>1</v>
      </c>
      <c r="D132" s="15" t="s">
        <v>50</v>
      </c>
      <c r="E132" s="15" t="s">
        <v>98</v>
      </c>
      <c r="F132" s="676" t="s">
        <v>69</v>
      </c>
      <c r="G132" s="677" t="s">
        <v>44</v>
      </c>
      <c r="H132" s="677" t="s">
        <v>36</v>
      </c>
      <c r="I132" s="678" t="s">
        <v>109</v>
      </c>
      <c r="J132" s="15"/>
      <c r="K132" s="29">
        <f t="shared" si="44"/>
        <v>350</v>
      </c>
      <c r="L132" s="29">
        <f t="shared" si="44"/>
        <v>0</v>
      </c>
      <c r="M132" s="29">
        <f t="shared" si="44"/>
        <v>350</v>
      </c>
      <c r="N132" s="29">
        <f t="shared" si="44"/>
        <v>350</v>
      </c>
    </row>
    <row r="133" spans="1:14" s="116" customFormat="1" ht="54" x14ac:dyDescent="0.35">
      <c r="A133" s="16"/>
      <c r="B133" s="497" t="s">
        <v>53</v>
      </c>
      <c r="C133" s="28" t="s">
        <v>1</v>
      </c>
      <c r="D133" s="15" t="s">
        <v>50</v>
      </c>
      <c r="E133" s="15" t="s">
        <v>98</v>
      </c>
      <c r="F133" s="676" t="s">
        <v>69</v>
      </c>
      <c r="G133" s="677" t="s">
        <v>44</v>
      </c>
      <c r="H133" s="677" t="s">
        <v>36</v>
      </c>
      <c r="I133" s="678" t="s">
        <v>109</v>
      </c>
      <c r="J133" s="15" t="s">
        <v>54</v>
      </c>
      <c r="K133" s="29">
        <v>350</v>
      </c>
      <c r="L133" s="29">
        <f>M133-K133</f>
        <v>0</v>
      </c>
      <c r="M133" s="29">
        <v>350</v>
      </c>
      <c r="N133" s="29">
        <v>350</v>
      </c>
    </row>
    <row r="134" spans="1:14" s="116" customFormat="1" ht="36" x14ac:dyDescent="0.35">
      <c r="A134" s="16"/>
      <c r="B134" s="545" t="s">
        <v>110</v>
      </c>
      <c r="C134" s="28" t="s">
        <v>1</v>
      </c>
      <c r="D134" s="15" t="s">
        <v>50</v>
      </c>
      <c r="E134" s="15" t="s">
        <v>98</v>
      </c>
      <c r="F134" s="676" t="s">
        <v>69</v>
      </c>
      <c r="G134" s="677" t="s">
        <v>87</v>
      </c>
      <c r="H134" s="677" t="s">
        <v>42</v>
      </c>
      <c r="I134" s="678" t="s">
        <v>43</v>
      </c>
      <c r="J134" s="15"/>
      <c r="K134" s="29">
        <f t="shared" ref="K134:N136" si="45">K135</f>
        <v>726.1</v>
      </c>
      <c r="L134" s="29">
        <f t="shared" si="45"/>
        <v>0</v>
      </c>
      <c r="M134" s="29">
        <f t="shared" si="45"/>
        <v>726.1</v>
      </c>
      <c r="N134" s="29">
        <f t="shared" si="45"/>
        <v>726.1</v>
      </c>
    </row>
    <row r="135" spans="1:14" s="12" customFormat="1" ht="54" x14ac:dyDescent="0.35">
      <c r="A135" s="16"/>
      <c r="B135" s="545" t="s">
        <v>111</v>
      </c>
      <c r="C135" s="28" t="s">
        <v>1</v>
      </c>
      <c r="D135" s="15" t="s">
        <v>50</v>
      </c>
      <c r="E135" s="15" t="s">
        <v>98</v>
      </c>
      <c r="F135" s="676" t="s">
        <v>69</v>
      </c>
      <c r="G135" s="677" t="s">
        <v>87</v>
      </c>
      <c r="H135" s="677" t="s">
        <v>36</v>
      </c>
      <c r="I135" s="678" t="s">
        <v>43</v>
      </c>
      <c r="J135" s="15"/>
      <c r="K135" s="29">
        <f t="shared" si="45"/>
        <v>726.1</v>
      </c>
      <c r="L135" s="29">
        <f t="shared" si="45"/>
        <v>0</v>
      </c>
      <c r="M135" s="29">
        <f t="shared" si="45"/>
        <v>726.1</v>
      </c>
      <c r="N135" s="29">
        <f t="shared" si="45"/>
        <v>726.1</v>
      </c>
    </row>
    <row r="136" spans="1:14" s="116" customFormat="1" ht="72" x14ac:dyDescent="0.35">
      <c r="A136" s="16"/>
      <c r="B136" s="545" t="s">
        <v>112</v>
      </c>
      <c r="C136" s="28" t="s">
        <v>1</v>
      </c>
      <c r="D136" s="15" t="s">
        <v>50</v>
      </c>
      <c r="E136" s="15" t="s">
        <v>98</v>
      </c>
      <c r="F136" s="676" t="s">
        <v>69</v>
      </c>
      <c r="G136" s="677" t="s">
        <v>87</v>
      </c>
      <c r="H136" s="677" t="s">
        <v>36</v>
      </c>
      <c r="I136" s="678" t="s">
        <v>113</v>
      </c>
      <c r="J136" s="15"/>
      <c r="K136" s="29">
        <f t="shared" si="45"/>
        <v>726.1</v>
      </c>
      <c r="L136" s="29">
        <f t="shared" si="45"/>
        <v>0</v>
      </c>
      <c r="M136" s="29">
        <f t="shared" si="45"/>
        <v>726.1</v>
      </c>
      <c r="N136" s="29">
        <f t="shared" si="45"/>
        <v>726.1</v>
      </c>
    </row>
    <row r="137" spans="1:14" s="12" customFormat="1" ht="54" x14ac:dyDescent="0.35">
      <c r="A137" s="16"/>
      <c r="B137" s="497" t="s">
        <v>53</v>
      </c>
      <c r="C137" s="28" t="s">
        <v>1</v>
      </c>
      <c r="D137" s="15" t="s">
        <v>50</v>
      </c>
      <c r="E137" s="15" t="s">
        <v>98</v>
      </c>
      <c r="F137" s="676" t="s">
        <v>69</v>
      </c>
      <c r="G137" s="677" t="s">
        <v>87</v>
      </c>
      <c r="H137" s="677" t="s">
        <v>36</v>
      </c>
      <c r="I137" s="678" t="s">
        <v>113</v>
      </c>
      <c r="J137" s="15" t="s">
        <v>54</v>
      </c>
      <c r="K137" s="29">
        <v>726.1</v>
      </c>
      <c r="L137" s="29">
        <f>M137-K137</f>
        <v>0</v>
      </c>
      <c r="M137" s="29">
        <v>726.1</v>
      </c>
      <c r="N137" s="29">
        <v>726.1</v>
      </c>
    </row>
    <row r="138" spans="1:14" s="116" customFormat="1" ht="72" x14ac:dyDescent="0.35">
      <c r="A138" s="16"/>
      <c r="B138" s="497" t="s">
        <v>114</v>
      </c>
      <c r="C138" s="28" t="s">
        <v>1</v>
      </c>
      <c r="D138" s="15" t="s">
        <v>50</v>
      </c>
      <c r="E138" s="15" t="s">
        <v>98</v>
      </c>
      <c r="F138" s="676" t="s">
        <v>86</v>
      </c>
      <c r="G138" s="677" t="s">
        <v>41</v>
      </c>
      <c r="H138" s="677" t="s">
        <v>42</v>
      </c>
      <c r="I138" s="678" t="s">
        <v>43</v>
      </c>
      <c r="J138" s="15"/>
      <c r="K138" s="29">
        <f t="shared" ref="K138:N139" si="46">K139</f>
        <v>50</v>
      </c>
      <c r="L138" s="29">
        <f t="shared" si="46"/>
        <v>0</v>
      </c>
      <c r="M138" s="29">
        <f t="shared" si="46"/>
        <v>50</v>
      </c>
      <c r="N138" s="29">
        <f t="shared" si="46"/>
        <v>50</v>
      </c>
    </row>
    <row r="139" spans="1:14" s="116" customFormat="1" ht="36" x14ac:dyDescent="0.35">
      <c r="A139" s="16"/>
      <c r="B139" s="497" t="s">
        <v>335</v>
      </c>
      <c r="C139" s="28" t="s">
        <v>1</v>
      </c>
      <c r="D139" s="15" t="s">
        <v>50</v>
      </c>
      <c r="E139" s="15" t="s">
        <v>98</v>
      </c>
      <c r="F139" s="676" t="s">
        <v>86</v>
      </c>
      <c r="G139" s="677" t="s">
        <v>44</v>
      </c>
      <c r="H139" s="677" t="s">
        <v>42</v>
      </c>
      <c r="I139" s="678" t="s">
        <v>43</v>
      </c>
      <c r="J139" s="15"/>
      <c r="K139" s="29">
        <f t="shared" si="46"/>
        <v>50</v>
      </c>
      <c r="L139" s="29">
        <f t="shared" si="46"/>
        <v>0</v>
      </c>
      <c r="M139" s="29">
        <f t="shared" si="46"/>
        <v>50</v>
      </c>
      <c r="N139" s="29">
        <f t="shared" si="46"/>
        <v>50</v>
      </c>
    </row>
    <row r="140" spans="1:14" s="12" customFormat="1" ht="72" x14ac:dyDescent="0.35">
      <c r="A140" s="16"/>
      <c r="B140" s="545" t="s">
        <v>303</v>
      </c>
      <c r="C140" s="28" t="s">
        <v>1</v>
      </c>
      <c r="D140" s="15" t="s">
        <v>50</v>
      </c>
      <c r="E140" s="15" t="s">
        <v>98</v>
      </c>
      <c r="F140" s="676" t="s">
        <v>86</v>
      </c>
      <c r="G140" s="677" t="s">
        <v>44</v>
      </c>
      <c r="H140" s="677" t="s">
        <v>36</v>
      </c>
      <c r="I140" s="678" t="s">
        <v>43</v>
      </c>
      <c r="J140" s="15"/>
      <c r="K140" s="29">
        <f t="shared" ref="K140:N141" si="47">K141</f>
        <v>50</v>
      </c>
      <c r="L140" s="29">
        <f t="shared" si="47"/>
        <v>0</v>
      </c>
      <c r="M140" s="29">
        <f t="shared" si="47"/>
        <v>50</v>
      </c>
      <c r="N140" s="29">
        <f t="shared" si="47"/>
        <v>50</v>
      </c>
    </row>
    <row r="141" spans="1:14" s="12" customFormat="1" ht="54" x14ac:dyDescent="0.35">
      <c r="A141" s="16"/>
      <c r="B141" s="545" t="s">
        <v>115</v>
      </c>
      <c r="C141" s="28" t="s">
        <v>1</v>
      </c>
      <c r="D141" s="15" t="s">
        <v>50</v>
      </c>
      <c r="E141" s="15" t="s">
        <v>98</v>
      </c>
      <c r="F141" s="676" t="s">
        <v>86</v>
      </c>
      <c r="G141" s="677" t="s">
        <v>44</v>
      </c>
      <c r="H141" s="677" t="s">
        <v>36</v>
      </c>
      <c r="I141" s="678" t="s">
        <v>116</v>
      </c>
      <c r="J141" s="15"/>
      <c r="K141" s="29">
        <f t="shared" si="47"/>
        <v>50</v>
      </c>
      <c r="L141" s="29">
        <f t="shared" si="47"/>
        <v>0</v>
      </c>
      <c r="M141" s="29">
        <f t="shared" si="47"/>
        <v>50</v>
      </c>
      <c r="N141" s="29">
        <f t="shared" si="47"/>
        <v>50</v>
      </c>
    </row>
    <row r="142" spans="1:14" s="12" customFormat="1" ht="54" x14ac:dyDescent="0.35">
      <c r="A142" s="16"/>
      <c r="B142" s="497" t="s">
        <v>53</v>
      </c>
      <c r="C142" s="28" t="s">
        <v>1</v>
      </c>
      <c r="D142" s="15" t="s">
        <v>50</v>
      </c>
      <c r="E142" s="15" t="s">
        <v>98</v>
      </c>
      <c r="F142" s="676" t="s">
        <v>86</v>
      </c>
      <c r="G142" s="677" t="s">
        <v>44</v>
      </c>
      <c r="H142" s="677" t="s">
        <v>36</v>
      </c>
      <c r="I142" s="678" t="s">
        <v>116</v>
      </c>
      <c r="J142" s="15" t="s">
        <v>54</v>
      </c>
      <c r="K142" s="29">
        <v>50</v>
      </c>
      <c r="L142" s="29">
        <f>M142-K142</f>
        <v>0</v>
      </c>
      <c r="M142" s="29">
        <v>50</v>
      </c>
      <c r="N142" s="29">
        <v>50</v>
      </c>
    </row>
    <row r="143" spans="1:14" s="12" customFormat="1" ht="18" x14ac:dyDescent="0.35">
      <c r="A143" s="16"/>
      <c r="B143" s="497" t="s">
        <v>176</v>
      </c>
      <c r="C143" s="28" t="s">
        <v>1</v>
      </c>
      <c r="D143" s="15" t="s">
        <v>220</v>
      </c>
      <c r="E143" s="15"/>
      <c r="F143" s="676"/>
      <c r="G143" s="677"/>
      <c r="H143" s="677"/>
      <c r="I143" s="678"/>
      <c r="J143" s="15"/>
      <c r="K143" s="29">
        <f>K144</f>
        <v>64.3</v>
      </c>
      <c r="L143" s="29">
        <f t="shared" ref="L143" si="48">L144</f>
        <v>0</v>
      </c>
      <c r="M143" s="29">
        <f>M144</f>
        <v>64.3</v>
      </c>
      <c r="N143" s="29">
        <f>N144</f>
        <v>64.3</v>
      </c>
    </row>
    <row r="144" spans="1:14" s="12" customFormat="1" ht="36" x14ac:dyDescent="0.35">
      <c r="A144" s="16"/>
      <c r="B144" s="497" t="s">
        <v>494</v>
      </c>
      <c r="C144" s="28" t="s">
        <v>1</v>
      </c>
      <c r="D144" s="15" t="s">
        <v>220</v>
      </c>
      <c r="E144" s="15" t="s">
        <v>63</v>
      </c>
      <c r="F144" s="676"/>
      <c r="G144" s="677"/>
      <c r="H144" s="677"/>
      <c r="I144" s="678"/>
      <c r="J144" s="15"/>
      <c r="K144" s="29">
        <f t="shared" ref="K144:N148" si="49">K145</f>
        <v>64.3</v>
      </c>
      <c r="L144" s="29">
        <f t="shared" si="49"/>
        <v>0</v>
      </c>
      <c r="M144" s="29">
        <f t="shared" si="49"/>
        <v>64.3</v>
      </c>
      <c r="N144" s="29">
        <f t="shared" si="49"/>
        <v>64.3</v>
      </c>
    </row>
    <row r="145" spans="1:14" s="12" customFormat="1" ht="54" x14ac:dyDescent="0.35">
      <c r="A145" s="16"/>
      <c r="B145" s="497" t="s">
        <v>39</v>
      </c>
      <c r="C145" s="28" t="s">
        <v>1</v>
      </c>
      <c r="D145" s="15" t="s">
        <v>220</v>
      </c>
      <c r="E145" s="15" t="s">
        <v>63</v>
      </c>
      <c r="F145" s="676" t="s">
        <v>40</v>
      </c>
      <c r="G145" s="677" t="s">
        <v>41</v>
      </c>
      <c r="H145" s="677" t="s">
        <v>42</v>
      </c>
      <c r="I145" s="678" t="s">
        <v>43</v>
      </c>
      <c r="J145" s="15"/>
      <c r="K145" s="29">
        <f t="shared" si="49"/>
        <v>64.3</v>
      </c>
      <c r="L145" s="29">
        <f t="shared" si="49"/>
        <v>0</v>
      </c>
      <c r="M145" s="29">
        <f t="shared" si="49"/>
        <v>64.3</v>
      </c>
      <c r="N145" s="29">
        <f t="shared" si="49"/>
        <v>64.3</v>
      </c>
    </row>
    <row r="146" spans="1:14" s="12" customFormat="1" ht="36" x14ac:dyDescent="0.35">
      <c r="A146" s="16"/>
      <c r="B146" s="497" t="s">
        <v>335</v>
      </c>
      <c r="C146" s="28" t="s">
        <v>1</v>
      </c>
      <c r="D146" s="15" t="s">
        <v>220</v>
      </c>
      <c r="E146" s="15" t="s">
        <v>63</v>
      </c>
      <c r="F146" s="676" t="s">
        <v>40</v>
      </c>
      <c r="G146" s="677" t="s">
        <v>44</v>
      </c>
      <c r="H146" s="677" t="s">
        <v>42</v>
      </c>
      <c r="I146" s="678" t="s">
        <v>43</v>
      </c>
      <c r="J146" s="15"/>
      <c r="K146" s="29">
        <f t="shared" si="49"/>
        <v>64.3</v>
      </c>
      <c r="L146" s="29">
        <f t="shared" si="49"/>
        <v>0</v>
      </c>
      <c r="M146" s="29">
        <f t="shared" si="49"/>
        <v>64.3</v>
      </c>
      <c r="N146" s="29">
        <f t="shared" si="49"/>
        <v>64.3</v>
      </c>
    </row>
    <row r="147" spans="1:14" s="12" customFormat="1" ht="18" x14ac:dyDescent="0.35">
      <c r="A147" s="16"/>
      <c r="B147" s="497" t="s">
        <v>60</v>
      </c>
      <c r="C147" s="28" t="s">
        <v>1</v>
      </c>
      <c r="D147" s="15" t="s">
        <v>220</v>
      </c>
      <c r="E147" s="15" t="s">
        <v>63</v>
      </c>
      <c r="F147" s="676" t="s">
        <v>40</v>
      </c>
      <c r="G147" s="677" t="s">
        <v>44</v>
      </c>
      <c r="H147" s="677" t="s">
        <v>61</v>
      </c>
      <c r="I147" s="678" t="s">
        <v>43</v>
      </c>
      <c r="J147" s="15"/>
      <c r="K147" s="29">
        <f t="shared" si="49"/>
        <v>64.3</v>
      </c>
      <c r="L147" s="29">
        <f t="shared" si="49"/>
        <v>0</v>
      </c>
      <c r="M147" s="29">
        <f t="shared" si="49"/>
        <v>64.3</v>
      </c>
      <c r="N147" s="29">
        <f t="shared" si="49"/>
        <v>64.3</v>
      </c>
    </row>
    <row r="148" spans="1:14" s="12" customFormat="1" ht="36" x14ac:dyDescent="0.35">
      <c r="A148" s="16"/>
      <c r="B148" s="497" t="s">
        <v>496</v>
      </c>
      <c r="C148" s="28" t="s">
        <v>1</v>
      </c>
      <c r="D148" s="15" t="s">
        <v>220</v>
      </c>
      <c r="E148" s="15" t="s">
        <v>63</v>
      </c>
      <c r="F148" s="676" t="s">
        <v>40</v>
      </c>
      <c r="G148" s="677" t="s">
        <v>44</v>
      </c>
      <c r="H148" s="677" t="s">
        <v>61</v>
      </c>
      <c r="I148" s="678" t="s">
        <v>495</v>
      </c>
      <c r="J148" s="15"/>
      <c r="K148" s="29">
        <f t="shared" si="49"/>
        <v>64.3</v>
      </c>
      <c r="L148" s="29">
        <f t="shared" si="49"/>
        <v>0</v>
      </c>
      <c r="M148" s="29">
        <f t="shared" si="49"/>
        <v>64.3</v>
      </c>
      <c r="N148" s="29">
        <f t="shared" si="49"/>
        <v>64.3</v>
      </c>
    </row>
    <row r="149" spans="1:14" s="12" customFormat="1" ht="54" x14ac:dyDescent="0.35">
      <c r="A149" s="16"/>
      <c r="B149" s="497" t="s">
        <v>53</v>
      </c>
      <c r="C149" s="28" t="s">
        <v>1</v>
      </c>
      <c r="D149" s="15" t="s">
        <v>220</v>
      </c>
      <c r="E149" s="15" t="s">
        <v>63</v>
      </c>
      <c r="F149" s="676" t="s">
        <v>40</v>
      </c>
      <c r="G149" s="677" t="s">
        <v>44</v>
      </c>
      <c r="H149" s="677" t="s">
        <v>61</v>
      </c>
      <c r="I149" s="678" t="s">
        <v>495</v>
      </c>
      <c r="J149" s="15" t="s">
        <v>54</v>
      </c>
      <c r="K149" s="29">
        <v>64.3</v>
      </c>
      <c r="L149" s="29">
        <f>M149-K149</f>
        <v>0</v>
      </c>
      <c r="M149" s="29">
        <v>64.3</v>
      </c>
      <c r="N149" s="29">
        <v>64.3</v>
      </c>
    </row>
    <row r="150" spans="1:14" s="116" customFormat="1" ht="18" x14ac:dyDescent="0.35">
      <c r="A150" s="16"/>
      <c r="B150" s="497" t="s">
        <v>117</v>
      </c>
      <c r="C150" s="28" t="s">
        <v>1</v>
      </c>
      <c r="D150" s="15" t="s">
        <v>102</v>
      </c>
      <c r="E150" s="15"/>
      <c r="F150" s="676"/>
      <c r="G150" s="677"/>
      <c r="H150" s="677"/>
      <c r="I150" s="678"/>
      <c r="J150" s="15"/>
      <c r="K150" s="29">
        <f>K151+K157</f>
        <v>2767.9</v>
      </c>
      <c r="L150" s="29">
        <f t="shared" ref="L150" si="50">L151+L157</f>
        <v>0</v>
      </c>
      <c r="M150" s="29">
        <f>M151+M157</f>
        <v>2767.9</v>
      </c>
      <c r="N150" s="29">
        <f>N151+N157</f>
        <v>2767.9</v>
      </c>
    </row>
    <row r="151" spans="1:14" s="116" customFormat="1" ht="18" x14ac:dyDescent="0.35">
      <c r="A151" s="16"/>
      <c r="B151" s="497" t="s">
        <v>351</v>
      </c>
      <c r="C151" s="28" t="s">
        <v>1</v>
      </c>
      <c r="D151" s="15" t="s">
        <v>102</v>
      </c>
      <c r="E151" s="15" t="s">
        <v>36</v>
      </c>
      <c r="F151" s="676"/>
      <c r="G151" s="677"/>
      <c r="H151" s="677"/>
      <c r="I151" s="678"/>
      <c r="J151" s="15"/>
      <c r="K151" s="29">
        <f t="shared" ref="K151:N155" si="51">K152</f>
        <v>1500</v>
      </c>
      <c r="L151" s="29">
        <f t="shared" si="51"/>
        <v>0</v>
      </c>
      <c r="M151" s="29">
        <f t="shared" si="51"/>
        <v>1500</v>
      </c>
      <c r="N151" s="29">
        <f t="shared" si="51"/>
        <v>1500</v>
      </c>
    </row>
    <row r="152" spans="1:14" s="116" customFormat="1" ht="54" x14ac:dyDescent="0.35">
      <c r="A152" s="16"/>
      <c r="B152" s="547" t="s">
        <v>291</v>
      </c>
      <c r="C152" s="28" t="s">
        <v>1</v>
      </c>
      <c r="D152" s="15" t="s">
        <v>102</v>
      </c>
      <c r="E152" s="15" t="s">
        <v>36</v>
      </c>
      <c r="F152" s="676" t="s">
        <v>77</v>
      </c>
      <c r="G152" s="677" t="s">
        <v>41</v>
      </c>
      <c r="H152" s="677" t="s">
        <v>42</v>
      </c>
      <c r="I152" s="678" t="s">
        <v>43</v>
      </c>
      <c r="J152" s="15"/>
      <c r="K152" s="29">
        <f t="shared" si="51"/>
        <v>1500</v>
      </c>
      <c r="L152" s="29">
        <f t="shared" si="51"/>
        <v>0</v>
      </c>
      <c r="M152" s="29">
        <f t="shared" si="51"/>
        <v>1500</v>
      </c>
      <c r="N152" s="29">
        <f t="shared" si="51"/>
        <v>1500</v>
      </c>
    </row>
    <row r="153" spans="1:14" s="116" customFormat="1" ht="36" x14ac:dyDescent="0.35">
      <c r="A153" s="16"/>
      <c r="B153" s="497" t="s">
        <v>335</v>
      </c>
      <c r="C153" s="28" t="s">
        <v>1</v>
      </c>
      <c r="D153" s="15" t="s">
        <v>102</v>
      </c>
      <c r="E153" s="15" t="s">
        <v>36</v>
      </c>
      <c r="F153" s="676" t="s">
        <v>77</v>
      </c>
      <c r="G153" s="677" t="s">
        <v>44</v>
      </c>
      <c r="H153" s="677" t="s">
        <v>42</v>
      </c>
      <c r="I153" s="678" t="s">
        <v>43</v>
      </c>
      <c r="J153" s="15"/>
      <c r="K153" s="29">
        <f t="shared" si="51"/>
        <v>1500</v>
      </c>
      <c r="L153" s="29">
        <f t="shared" si="51"/>
        <v>0</v>
      </c>
      <c r="M153" s="29">
        <f t="shared" si="51"/>
        <v>1500</v>
      </c>
      <c r="N153" s="29">
        <f t="shared" si="51"/>
        <v>1500</v>
      </c>
    </row>
    <row r="154" spans="1:14" s="116" customFormat="1" ht="90" x14ac:dyDescent="0.35">
      <c r="A154" s="16"/>
      <c r="B154" s="529" t="s">
        <v>439</v>
      </c>
      <c r="C154" s="28" t="s">
        <v>1</v>
      </c>
      <c r="D154" s="15" t="s">
        <v>102</v>
      </c>
      <c r="E154" s="15" t="s">
        <v>36</v>
      </c>
      <c r="F154" s="676" t="s">
        <v>77</v>
      </c>
      <c r="G154" s="677" t="s">
        <v>44</v>
      </c>
      <c r="H154" s="677" t="s">
        <v>50</v>
      </c>
      <c r="I154" s="678" t="s">
        <v>43</v>
      </c>
      <c r="J154" s="15"/>
      <c r="K154" s="29">
        <f t="shared" si="51"/>
        <v>1500</v>
      </c>
      <c r="L154" s="29">
        <f t="shared" si="51"/>
        <v>0</v>
      </c>
      <c r="M154" s="29">
        <f t="shared" si="51"/>
        <v>1500</v>
      </c>
      <c r="N154" s="29">
        <f t="shared" si="51"/>
        <v>1500</v>
      </c>
    </row>
    <row r="155" spans="1:14" s="116" customFormat="1" ht="72" x14ac:dyDescent="0.35">
      <c r="A155" s="16"/>
      <c r="B155" s="529" t="s">
        <v>434</v>
      </c>
      <c r="C155" s="28" t="s">
        <v>1</v>
      </c>
      <c r="D155" s="15" t="s">
        <v>102</v>
      </c>
      <c r="E155" s="15" t="s">
        <v>36</v>
      </c>
      <c r="F155" s="676" t="s">
        <v>77</v>
      </c>
      <c r="G155" s="677" t="s">
        <v>44</v>
      </c>
      <c r="H155" s="677" t="s">
        <v>50</v>
      </c>
      <c r="I155" s="678" t="s">
        <v>352</v>
      </c>
      <c r="J155" s="15"/>
      <c r="K155" s="29">
        <f t="shared" si="51"/>
        <v>1500</v>
      </c>
      <c r="L155" s="29">
        <f t="shared" si="51"/>
        <v>0</v>
      </c>
      <c r="M155" s="29">
        <f t="shared" si="51"/>
        <v>1500</v>
      </c>
      <c r="N155" s="29">
        <f t="shared" si="51"/>
        <v>1500</v>
      </c>
    </row>
    <row r="156" spans="1:14" s="116" customFormat="1" ht="36" x14ac:dyDescent="0.35">
      <c r="A156" s="16"/>
      <c r="B156" s="504" t="s">
        <v>118</v>
      </c>
      <c r="C156" s="28" t="s">
        <v>1</v>
      </c>
      <c r="D156" s="15" t="s">
        <v>102</v>
      </c>
      <c r="E156" s="15" t="s">
        <v>36</v>
      </c>
      <c r="F156" s="676" t="s">
        <v>77</v>
      </c>
      <c r="G156" s="677" t="s">
        <v>44</v>
      </c>
      <c r="H156" s="677" t="s">
        <v>50</v>
      </c>
      <c r="I156" s="678" t="s">
        <v>352</v>
      </c>
      <c r="J156" s="15" t="s">
        <v>119</v>
      </c>
      <c r="K156" s="29">
        <v>1500</v>
      </c>
      <c r="L156" s="29">
        <f>M156-K156</f>
        <v>0</v>
      </c>
      <c r="M156" s="29">
        <v>1500</v>
      </c>
      <c r="N156" s="29">
        <v>1500</v>
      </c>
    </row>
    <row r="157" spans="1:14" s="116" customFormat="1" ht="36" x14ac:dyDescent="0.35">
      <c r="A157" s="16"/>
      <c r="B157" s="497" t="s">
        <v>120</v>
      </c>
      <c r="C157" s="28" t="s">
        <v>1</v>
      </c>
      <c r="D157" s="15" t="s">
        <v>102</v>
      </c>
      <c r="E157" s="15" t="s">
        <v>79</v>
      </c>
      <c r="F157" s="676"/>
      <c r="G157" s="677"/>
      <c r="H157" s="677"/>
      <c r="I157" s="678"/>
      <c r="J157" s="15"/>
      <c r="K157" s="29">
        <f t="shared" ref="K157:M161" si="52">K158</f>
        <v>1267.9000000000001</v>
      </c>
      <c r="L157" s="29">
        <f t="shared" si="52"/>
        <v>0</v>
      </c>
      <c r="M157" s="29">
        <f t="shared" si="52"/>
        <v>1267.9000000000001</v>
      </c>
      <c r="N157" s="29">
        <f>N158</f>
        <v>1267.9000000000001</v>
      </c>
    </row>
    <row r="158" spans="1:14" s="116" customFormat="1" ht="72" x14ac:dyDescent="0.35">
      <c r="A158" s="16"/>
      <c r="B158" s="497" t="s">
        <v>70</v>
      </c>
      <c r="C158" s="28" t="s">
        <v>1</v>
      </c>
      <c r="D158" s="15" t="s">
        <v>102</v>
      </c>
      <c r="E158" s="15" t="s">
        <v>79</v>
      </c>
      <c r="F158" s="676" t="s">
        <v>71</v>
      </c>
      <c r="G158" s="677" t="s">
        <v>41</v>
      </c>
      <c r="H158" s="677" t="s">
        <v>42</v>
      </c>
      <c r="I158" s="678" t="s">
        <v>43</v>
      </c>
      <c r="J158" s="15"/>
      <c r="K158" s="29">
        <f t="shared" si="52"/>
        <v>1267.9000000000001</v>
      </c>
      <c r="L158" s="29">
        <f t="shared" si="52"/>
        <v>0</v>
      </c>
      <c r="M158" s="29">
        <f t="shared" si="52"/>
        <v>1267.9000000000001</v>
      </c>
      <c r="N158" s="29">
        <f>N159</f>
        <v>1267.9000000000001</v>
      </c>
    </row>
    <row r="159" spans="1:14" s="116" customFormat="1" ht="36" x14ac:dyDescent="0.35">
      <c r="A159" s="16"/>
      <c r="B159" s="497" t="s">
        <v>335</v>
      </c>
      <c r="C159" s="28" t="s">
        <v>1</v>
      </c>
      <c r="D159" s="15" t="s">
        <v>102</v>
      </c>
      <c r="E159" s="15" t="s">
        <v>79</v>
      </c>
      <c r="F159" s="676" t="s">
        <v>71</v>
      </c>
      <c r="G159" s="677" t="s">
        <v>44</v>
      </c>
      <c r="H159" s="677" t="s">
        <v>42</v>
      </c>
      <c r="I159" s="678" t="s">
        <v>43</v>
      </c>
      <c r="J159" s="15"/>
      <c r="K159" s="29">
        <f t="shared" si="52"/>
        <v>1267.9000000000001</v>
      </c>
      <c r="L159" s="29">
        <f t="shared" si="52"/>
        <v>0</v>
      </c>
      <c r="M159" s="29">
        <f t="shared" si="52"/>
        <v>1267.9000000000001</v>
      </c>
      <c r="N159" s="29">
        <f>N160</f>
        <v>1267.9000000000001</v>
      </c>
    </row>
    <row r="160" spans="1:14" s="116" customFormat="1" ht="54" x14ac:dyDescent="0.35">
      <c r="A160" s="16"/>
      <c r="B160" s="529" t="s">
        <v>262</v>
      </c>
      <c r="C160" s="28" t="s">
        <v>1</v>
      </c>
      <c r="D160" s="15" t="s">
        <v>102</v>
      </c>
      <c r="E160" s="15" t="s">
        <v>79</v>
      </c>
      <c r="F160" s="676" t="s">
        <v>71</v>
      </c>
      <c r="G160" s="677" t="s">
        <v>44</v>
      </c>
      <c r="H160" s="677" t="s">
        <v>36</v>
      </c>
      <c r="I160" s="678" t="s">
        <v>43</v>
      </c>
      <c r="J160" s="15"/>
      <c r="K160" s="29">
        <f t="shared" si="52"/>
        <v>1267.9000000000001</v>
      </c>
      <c r="L160" s="29">
        <f t="shared" si="52"/>
        <v>0</v>
      </c>
      <c r="M160" s="29">
        <f t="shared" si="52"/>
        <v>1267.9000000000001</v>
      </c>
      <c r="N160" s="29">
        <f>N161</f>
        <v>1267.9000000000001</v>
      </c>
    </row>
    <row r="161" spans="1:14" s="116" customFormat="1" ht="54" x14ac:dyDescent="0.35">
      <c r="A161" s="16"/>
      <c r="B161" s="529" t="s">
        <v>72</v>
      </c>
      <c r="C161" s="28" t="s">
        <v>1</v>
      </c>
      <c r="D161" s="15" t="s">
        <v>102</v>
      </c>
      <c r="E161" s="15" t="s">
        <v>79</v>
      </c>
      <c r="F161" s="676" t="s">
        <v>71</v>
      </c>
      <c r="G161" s="677" t="s">
        <v>44</v>
      </c>
      <c r="H161" s="677" t="s">
        <v>36</v>
      </c>
      <c r="I161" s="678" t="s">
        <v>73</v>
      </c>
      <c r="J161" s="15"/>
      <c r="K161" s="29">
        <f>K162</f>
        <v>1267.9000000000001</v>
      </c>
      <c r="L161" s="29">
        <f t="shared" si="52"/>
        <v>0</v>
      </c>
      <c r="M161" s="29">
        <f>M162</f>
        <v>1267.9000000000001</v>
      </c>
      <c r="N161" s="29">
        <f>N162</f>
        <v>1267.9000000000001</v>
      </c>
    </row>
    <row r="162" spans="1:14" s="116" customFormat="1" ht="54" x14ac:dyDescent="0.35">
      <c r="A162" s="16"/>
      <c r="B162" s="504" t="s">
        <v>74</v>
      </c>
      <c r="C162" s="28" t="s">
        <v>1</v>
      </c>
      <c r="D162" s="15" t="s">
        <v>102</v>
      </c>
      <c r="E162" s="15" t="s">
        <v>79</v>
      </c>
      <c r="F162" s="676" t="s">
        <v>71</v>
      </c>
      <c r="G162" s="677" t="s">
        <v>44</v>
      </c>
      <c r="H162" s="677" t="s">
        <v>36</v>
      </c>
      <c r="I162" s="678" t="s">
        <v>73</v>
      </c>
      <c r="J162" s="15" t="s">
        <v>75</v>
      </c>
      <c r="K162" s="29">
        <v>1267.9000000000001</v>
      </c>
      <c r="L162" s="29">
        <f>M162-K162</f>
        <v>0</v>
      </c>
      <c r="M162" s="29">
        <v>1267.9000000000001</v>
      </c>
      <c r="N162" s="29">
        <v>1267.9000000000001</v>
      </c>
    </row>
    <row r="163" spans="1:14" s="116" customFormat="1" ht="18" x14ac:dyDescent="0.35">
      <c r="A163" s="16"/>
      <c r="B163" s="504"/>
      <c r="C163" s="28"/>
      <c r="D163" s="15"/>
      <c r="E163" s="15"/>
      <c r="F163" s="676"/>
      <c r="G163" s="677"/>
      <c r="H163" s="677"/>
      <c r="I163" s="678"/>
      <c r="J163" s="15"/>
      <c r="K163" s="29"/>
      <c r="L163" s="29"/>
      <c r="M163" s="29"/>
      <c r="N163" s="29"/>
    </row>
    <row r="164" spans="1:14" ht="52.2" x14ac:dyDescent="0.3">
      <c r="A164" s="115">
        <v>2</v>
      </c>
      <c r="B164" s="543" t="s">
        <v>2</v>
      </c>
      <c r="C164" s="23" t="s">
        <v>298</v>
      </c>
      <c r="D164" s="24"/>
      <c r="E164" s="24"/>
      <c r="F164" s="25"/>
      <c r="G164" s="26"/>
      <c r="H164" s="26"/>
      <c r="I164" s="27"/>
      <c r="J164" s="24"/>
      <c r="K164" s="37">
        <f>K165+K190+K183</f>
        <v>45787.5</v>
      </c>
      <c r="L164" s="37">
        <f t="shared" ref="L164" si="53">L165+L190+L183</f>
        <v>0</v>
      </c>
      <c r="M164" s="37">
        <f>M165+M190+M183</f>
        <v>45787.5</v>
      </c>
      <c r="N164" s="37">
        <f>N165+N190+N183</f>
        <v>45788.3</v>
      </c>
    </row>
    <row r="165" spans="1:14" s="120" customFormat="1" ht="18" x14ac:dyDescent="0.35">
      <c r="A165" s="16"/>
      <c r="B165" s="497" t="s">
        <v>35</v>
      </c>
      <c r="C165" s="28" t="s">
        <v>298</v>
      </c>
      <c r="D165" s="15" t="s">
        <v>36</v>
      </c>
      <c r="E165" s="15"/>
      <c r="F165" s="676"/>
      <c r="G165" s="677"/>
      <c r="H165" s="677"/>
      <c r="I165" s="678"/>
      <c r="J165" s="15"/>
      <c r="K165" s="29">
        <f>K166+K174</f>
        <v>36671.9</v>
      </c>
      <c r="L165" s="29">
        <f t="shared" ref="L165" si="54">L166+L174</f>
        <v>0</v>
      </c>
      <c r="M165" s="29">
        <f>M166+M174</f>
        <v>36671.9</v>
      </c>
      <c r="N165" s="29">
        <f>N166+N174</f>
        <v>36672.700000000004</v>
      </c>
    </row>
    <row r="166" spans="1:14" s="121" customFormat="1" ht="54" x14ac:dyDescent="0.35">
      <c r="A166" s="16"/>
      <c r="B166" s="497" t="s">
        <v>127</v>
      </c>
      <c r="C166" s="28" t="s">
        <v>298</v>
      </c>
      <c r="D166" s="15" t="s">
        <v>36</v>
      </c>
      <c r="E166" s="15" t="s">
        <v>79</v>
      </c>
      <c r="F166" s="676"/>
      <c r="G166" s="677"/>
      <c r="H166" s="677"/>
      <c r="I166" s="678"/>
      <c r="J166" s="15"/>
      <c r="K166" s="29">
        <f t="shared" ref="K166:N169" si="55">K167</f>
        <v>33563.5</v>
      </c>
      <c r="L166" s="29">
        <f t="shared" si="55"/>
        <v>0</v>
      </c>
      <c r="M166" s="29">
        <f t="shared" si="55"/>
        <v>33563.5</v>
      </c>
      <c r="N166" s="29">
        <f t="shared" si="55"/>
        <v>33564.300000000003</v>
      </c>
    </row>
    <row r="167" spans="1:14" s="116" customFormat="1" ht="54" x14ac:dyDescent="0.35">
      <c r="A167" s="16"/>
      <c r="B167" s="497" t="s">
        <v>219</v>
      </c>
      <c r="C167" s="28" t="s">
        <v>298</v>
      </c>
      <c r="D167" s="15" t="s">
        <v>36</v>
      </c>
      <c r="E167" s="15" t="s">
        <v>79</v>
      </c>
      <c r="F167" s="676" t="s">
        <v>220</v>
      </c>
      <c r="G167" s="677" t="s">
        <v>41</v>
      </c>
      <c r="H167" s="677" t="s">
        <v>42</v>
      </c>
      <c r="I167" s="678" t="s">
        <v>43</v>
      </c>
      <c r="J167" s="15"/>
      <c r="K167" s="29">
        <f t="shared" si="55"/>
        <v>33563.5</v>
      </c>
      <c r="L167" s="29">
        <f t="shared" si="55"/>
        <v>0</v>
      </c>
      <c r="M167" s="29">
        <f t="shared" si="55"/>
        <v>33563.5</v>
      </c>
      <c r="N167" s="29">
        <f t="shared" si="55"/>
        <v>33564.300000000003</v>
      </c>
    </row>
    <row r="168" spans="1:14" s="116" customFormat="1" ht="36" x14ac:dyDescent="0.35">
      <c r="A168" s="16"/>
      <c r="B168" s="497" t="s">
        <v>335</v>
      </c>
      <c r="C168" s="28" t="s">
        <v>298</v>
      </c>
      <c r="D168" s="15" t="s">
        <v>36</v>
      </c>
      <c r="E168" s="15" t="s">
        <v>79</v>
      </c>
      <c r="F168" s="30" t="s">
        <v>220</v>
      </c>
      <c r="G168" s="31" t="s">
        <v>44</v>
      </c>
      <c r="H168" s="677" t="s">
        <v>42</v>
      </c>
      <c r="I168" s="678" t="s">
        <v>43</v>
      </c>
      <c r="J168" s="15"/>
      <c r="K168" s="29">
        <f>K169</f>
        <v>33563.5</v>
      </c>
      <c r="L168" s="29">
        <f t="shared" si="55"/>
        <v>0</v>
      </c>
      <c r="M168" s="29">
        <f>M169</f>
        <v>33563.5</v>
      </c>
      <c r="N168" s="29">
        <f>N169</f>
        <v>33564.300000000003</v>
      </c>
    </row>
    <row r="169" spans="1:14" s="116" customFormat="1" ht="54" x14ac:dyDescent="0.35">
      <c r="A169" s="16"/>
      <c r="B169" s="497" t="s">
        <v>299</v>
      </c>
      <c r="C169" s="28" t="s">
        <v>298</v>
      </c>
      <c r="D169" s="15" t="s">
        <v>36</v>
      </c>
      <c r="E169" s="15" t="s">
        <v>79</v>
      </c>
      <c r="F169" s="30" t="s">
        <v>220</v>
      </c>
      <c r="G169" s="31" t="s">
        <v>44</v>
      </c>
      <c r="H169" s="677" t="s">
        <v>36</v>
      </c>
      <c r="I169" s="678" t="s">
        <v>43</v>
      </c>
      <c r="J169" s="15"/>
      <c r="K169" s="29">
        <f t="shared" si="55"/>
        <v>33563.5</v>
      </c>
      <c r="L169" s="29">
        <f t="shared" si="55"/>
        <v>0</v>
      </c>
      <c r="M169" s="29">
        <f t="shared" si="55"/>
        <v>33563.5</v>
      </c>
      <c r="N169" s="29">
        <f t="shared" si="55"/>
        <v>33564.300000000003</v>
      </c>
    </row>
    <row r="170" spans="1:14" s="116" customFormat="1" ht="36" x14ac:dyDescent="0.35">
      <c r="A170" s="16"/>
      <c r="B170" s="497" t="s">
        <v>46</v>
      </c>
      <c r="C170" s="28" t="s">
        <v>298</v>
      </c>
      <c r="D170" s="15" t="s">
        <v>36</v>
      </c>
      <c r="E170" s="15" t="s">
        <v>79</v>
      </c>
      <c r="F170" s="30" t="s">
        <v>220</v>
      </c>
      <c r="G170" s="31" t="s">
        <v>44</v>
      </c>
      <c r="H170" s="677" t="s">
        <v>36</v>
      </c>
      <c r="I170" s="678" t="s">
        <v>47</v>
      </c>
      <c r="J170" s="15"/>
      <c r="K170" s="29">
        <f>SUM(K171:K173)</f>
        <v>33563.5</v>
      </c>
      <c r="L170" s="29">
        <f t="shared" ref="L170" si="56">SUM(L171:L173)</f>
        <v>0</v>
      </c>
      <c r="M170" s="29">
        <f>SUM(M171:M173)</f>
        <v>33563.5</v>
      </c>
      <c r="N170" s="29">
        <f>SUM(N171:N173)</f>
        <v>33564.300000000003</v>
      </c>
    </row>
    <row r="171" spans="1:14" s="116" customFormat="1" ht="108" x14ac:dyDescent="0.35">
      <c r="A171" s="16"/>
      <c r="B171" s="497" t="s">
        <v>48</v>
      </c>
      <c r="C171" s="28" t="s">
        <v>298</v>
      </c>
      <c r="D171" s="15" t="s">
        <v>36</v>
      </c>
      <c r="E171" s="15" t="s">
        <v>79</v>
      </c>
      <c r="F171" s="30" t="s">
        <v>220</v>
      </c>
      <c r="G171" s="31" t="s">
        <v>44</v>
      </c>
      <c r="H171" s="677" t="s">
        <v>36</v>
      </c>
      <c r="I171" s="678" t="s">
        <v>47</v>
      </c>
      <c r="J171" s="15" t="s">
        <v>49</v>
      </c>
      <c r="K171" s="29">
        <f>32677.9+44.8</f>
        <v>32722.7</v>
      </c>
      <c r="L171" s="29">
        <f>M171-K171</f>
        <v>0</v>
      </c>
      <c r="M171" s="29">
        <f>32677.9+44.8</f>
        <v>32722.7</v>
      </c>
      <c r="N171" s="29">
        <f>32677.9+44.8</f>
        <v>32722.7</v>
      </c>
    </row>
    <row r="172" spans="1:14" s="116" customFormat="1" ht="54" x14ac:dyDescent="0.35">
      <c r="A172" s="16"/>
      <c r="B172" s="497" t="s">
        <v>53</v>
      </c>
      <c r="C172" s="28" t="s">
        <v>298</v>
      </c>
      <c r="D172" s="15" t="s">
        <v>36</v>
      </c>
      <c r="E172" s="15" t="s">
        <v>79</v>
      </c>
      <c r="F172" s="30" t="s">
        <v>220</v>
      </c>
      <c r="G172" s="31" t="s">
        <v>44</v>
      </c>
      <c r="H172" s="677" t="s">
        <v>36</v>
      </c>
      <c r="I172" s="678" t="s">
        <v>47</v>
      </c>
      <c r="J172" s="15" t="s">
        <v>54</v>
      </c>
      <c r="K172" s="29">
        <v>836.3</v>
      </c>
      <c r="L172" s="29">
        <f>M172-K172</f>
        <v>0</v>
      </c>
      <c r="M172" s="29">
        <v>836.3</v>
      </c>
      <c r="N172" s="29">
        <v>837.2</v>
      </c>
    </row>
    <row r="173" spans="1:14" s="121" customFormat="1" ht="18" x14ac:dyDescent="0.35">
      <c r="A173" s="16"/>
      <c r="B173" s="497" t="s">
        <v>55</v>
      </c>
      <c r="C173" s="28" t="s">
        <v>298</v>
      </c>
      <c r="D173" s="15" t="s">
        <v>36</v>
      </c>
      <c r="E173" s="15" t="s">
        <v>79</v>
      </c>
      <c r="F173" s="30" t="s">
        <v>220</v>
      </c>
      <c r="G173" s="31" t="s">
        <v>44</v>
      </c>
      <c r="H173" s="677" t="s">
        <v>36</v>
      </c>
      <c r="I173" s="678" t="s">
        <v>47</v>
      </c>
      <c r="J173" s="15" t="s">
        <v>56</v>
      </c>
      <c r="K173" s="29">
        <v>4.5</v>
      </c>
      <c r="L173" s="29">
        <f>M173-K173</f>
        <v>0</v>
      </c>
      <c r="M173" s="29">
        <v>4.5</v>
      </c>
      <c r="N173" s="29">
        <v>4.4000000000000004</v>
      </c>
    </row>
    <row r="174" spans="1:14" s="121" customFormat="1" ht="18" x14ac:dyDescent="0.35">
      <c r="A174" s="16"/>
      <c r="B174" s="497" t="s">
        <v>68</v>
      </c>
      <c r="C174" s="28" t="s">
        <v>298</v>
      </c>
      <c r="D174" s="15" t="s">
        <v>36</v>
      </c>
      <c r="E174" s="15" t="s">
        <v>69</v>
      </c>
      <c r="F174" s="30"/>
      <c r="G174" s="31"/>
      <c r="H174" s="677"/>
      <c r="I174" s="678"/>
      <c r="J174" s="15"/>
      <c r="K174" s="29">
        <f t="shared" ref="K174:N175" si="57">K175</f>
        <v>3108.4</v>
      </c>
      <c r="L174" s="29">
        <f t="shared" si="57"/>
        <v>0</v>
      </c>
      <c r="M174" s="29">
        <f t="shared" si="57"/>
        <v>3108.4</v>
      </c>
      <c r="N174" s="29">
        <f t="shared" si="57"/>
        <v>3108.4</v>
      </c>
    </row>
    <row r="175" spans="1:14" s="121" customFormat="1" ht="54" x14ac:dyDescent="0.35">
      <c r="A175" s="16"/>
      <c r="B175" s="497" t="s">
        <v>219</v>
      </c>
      <c r="C175" s="28" t="s">
        <v>298</v>
      </c>
      <c r="D175" s="15" t="s">
        <v>36</v>
      </c>
      <c r="E175" s="15" t="s">
        <v>69</v>
      </c>
      <c r="F175" s="30" t="s">
        <v>220</v>
      </c>
      <c r="G175" s="31" t="s">
        <v>41</v>
      </c>
      <c r="H175" s="677" t="s">
        <v>42</v>
      </c>
      <c r="I175" s="678" t="s">
        <v>43</v>
      </c>
      <c r="J175" s="15"/>
      <c r="K175" s="29">
        <f t="shared" si="57"/>
        <v>3108.4</v>
      </c>
      <c r="L175" s="29">
        <f t="shared" si="57"/>
        <v>0</v>
      </c>
      <c r="M175" s="29">
        <f t="shared" si="57"/>
        <v>3108.4</v>
      </c>
      <c r="N175" s="29">
        <f t="shared" si="57"/>
        <v>3108.4</v>
      </c>
    </row>
    <row r="176" spans="1:14" s="121" customFormat="1" ht="36" x14ac:dyDescent="0.35">
      <c r="A176" s="16"/>
      <c r="B176" s="497" t="s">
        <v>335</v>
      </c>
      <c r="C176" s="28" t="s">
        <v>298</v>
      </c>
      <c r="D176" s="15" t="s">
        <v>36</v>
      </c>
      <c r="E176" s="15" t="s">
        <v>69</v>
      </c>
      <c r="F176" s="30" t="s">
        <v>220</v>
      </c>
      <c r="G176" s="31" t="s">
        <v>44</v>
      </c>
      <c r="H176" s="677" t="s">
        <v>42</v>
      </c>
      <c r="I176" s="678" t="s">
        <v>43</v>
      </c>
      <c r="J176" s="15"/>
      <c r="K176" s="29">
        <f>K177+K180</f>
        <v>3108.4</v>
      </c>
      <c r="L176" s="29">
        <f t="shared" ref="L176" si="58">L177+L180</f>
        <v>0</v>
      </c>
      <c r="M176" s="29">
        <f>M177+M180</f>
        <v>3108.4</v>
      </c>
      <c r="N176" s="29">
        <f>N177+N180</f>
        <v>3108.4</v>
      </c>
    </row>
    <row r="177" spans="1:14" s="121" customFormat="1" ht="36" x14ac:dyDescent="0.35">
      <c r="A177" s="16"/>
      <c r="B177" s="497" t="s">
        <v>347</v>
      </c>
      <c r="C177" s="28" t="s">
        <v>298</v>
      </c>
      <c r="D177" s="15" t="s">
        <v>36</v>
      </c>
      <c r="E177" s="15" t="s">
        <v>69</v>
      </c>
      <c r="F177" s="30" t="s">
        <v>220</v>
      </c>
      <c r="G177" s="31" t="s">
        <v>44</v>
      </c>
      <c r="H177" s="677" t="s">
        <v>61</v>
      </c>
      <c r="I177" s="678" t="s">
        <v>43</v>
      </c>
      <c r="J177" s="15"/>
      <c r="K177" s="29">
        <f t="shared" ref="K177:N178" si="59">K178</f>
        <v>3090.8</v>
      </c>
      <c r="L177" s="29">
        <f t="shared" si="59"/>
        <v>0</v>
      </c>
      <c r="M177" s="29">
        <f t="shared" si="59"/>
        <v>3090.8</v>
      </c>
      <c r="N177" s="29">
        <f t="shared" si="59"/>
        <v>3090.8</v>
      </c>
    </row>
    <row r="178" spans="1:14" s="121" customFormat="1" ht="54" x14ac:dyDescent="0.35">
      <c r="A178" s="16"/>
      <c r="B178" s="497" t="s">
        <v>348</v>
      </c>
      <c r="C178" s="28" t="s">
        <v>298</v>
      </c>
      <c r="D178" s="15" t="s">
        <v>36</v>
      </c>
      <c r="E178" s="15" t="s">
        <v>69</v>
      </c>
      <c r="F178" s="30" t="s">
        <v>220</v>
      </c>
      <c r="G178" s="31" t="s">
        <v>44</v>
      </c>
      <c r="H178" s="677" t="s">
        <v>61</v>
      </c>
      <c r="I178" s="678" t="s">
        <v>103</v>
      </c>
      <c r="J178" s="15"/>
      <c r="K178" s="29">
        <f t="shared" si="59"/>
        <v>3090.8</v>
      </c>
      <c r="L178" s="29">
        <f t="shared" si="59"/>
        <v>0</v>
      </c>
      <c r="M178" s="29">
        <f t="shared" si="59"/>
        <v>3090.8</v>
      </c>
      <c r="N178" s="29">
        <f t="shared" si="59"/>
        <v>3090.8</v>
      </c>
    </row>
    <row r="179" spans="1:14" s="121" customFormat="1" ht="54" x14ac:dyDescent="0.35">
      <c r="A179" s="16"/>
      <c r="B179" s="497" t="s">
        <v>53</v>
      </c>
      <c r="C179" s="28" t="s">
        <v>298</v>
      </c>
      <c r="D179" s="15" t="s">
        <v>36</v>
      </c>
      <c r="E179" s="15" t="s">
        <v>69</v>
      </c>
      <c r="F179" s="30" t="s">
        <v>220</v>
      </c>
      <c r="G179" s="31" t="s">
        <v>44</v>
      </c>
      <c r="H179" s="677" t="s">
        <v>61</v>
      </c>
      <c r="I179" s="678" t="s">
        <v>103</v>
      </c>
      <c r="J179" s="15" t="s">
        <v>54</v>
      </c>
      <c r="K179" s="29">
        <v>3090.8</v>
      </c>
      <c r="L179" s="29">
        <f>M179-K179</f>
        <v>0</v>
      </c>
      <c r="M179" s="29">
        <v>3090.8</v>
      </c>
      <c r="N179" s="29">
        <v>3090.8</v>
      </c>
    </row>
    <row r="180" spans="1:14" s="121" customFormat="1" ht="36" x14ac:dyDescent="0.35">
      <c r="A180" s="16"/>
      <c r="B180" s="497" t="s">
        <v>458</v>
      </c>
      <c r="C180" s="28" t="s">
        <v>298</v>
      </c>
      <c r="D180" s="15" t="s">
        <v>36</v>
      </c>
      <c r="E180" s="15" t="s">
        <v>69</v>
      </c>
      <c r="F180" s="30" t="s">
        <v>220</v>
      </c>
      <c r="G180" s="31" t="s">
        <v>44</v>
      </c>
      <c r="H180" s="677" t="s">
        <v>63</v>
      </c>
      <c r="I180" s="678" t="s">
        <v>43</v>
      </c>
      <c r="J180" s="15"/>
      <c r="K180" s="29">
        <f t="shared" ref="K180:N181" si="60">K181</f>
        <v>17.600000000000001</v>
      </c>
      <c r="L180" s="29">
        <f t="shared" si="60"/>
        <v>0</v>
      </c>
      <c r="M180" s="29">
        <f t="shared" si="60"/>
        <v>17.600000000000001</v>
      </c>
      <c r="N180" s="29">
        <f t="shared" si="60"/>
        <v>17.600000000000001</v>
      </c>
    </row>
    <row r="181" spans="1:14" s="121" customFormat="1" ht="18" x14ac:dyDescent="0.35">
      <c r="A181" s="16"/>
      <c r="B181" s="497" t="s">
        <v>456</v>
      </c>
      <c r="C181" s="28" t="s">
        <v>298</v>
      </c>
      <c r="D181" s="15" t="s">
        <v>36</v>
      </c>
      <c r="E181" s="15" t="s">
        <v>69</v>
      </c>
      <c r="F181" s="30" t="s">
        <v>220</v>
      </c>
      <c r="G181" s="31" t="s">
        <v>44</v>
      </c>
      <c r="H181" s="677" t="s">
        <v>63</v>
      </c>
      <c r="I181" s="678" t="s">
        <v>457</v>
      </c>
      <c r="J181" s="15"/>
      <c r="K181" s="29">
        <f t="shared" si="60"/>
        <v>17.600000000000001</v>
      </c>
      <c r="L181" s="29">
        <f t="shared" si="60"/>
        <v>0</v>
      </c>
      <c r="M181" s="29">
        <f t="shared" si="60"/>
        <v>17.600000000000001</v>
      </c>
      <c r="N181" s="29">
        <f t="shared" si="60"/>
        <v>17.600000000000001</v>
      </c>
    </row>
    <row r="182" spans="1:14" s="121" customFormat="1" ht="54" x14ac:dyDescent="0.35">
      <c r="A182" s="16"/>
      <c r="B182" s="497" t="s">
        <v>53</v>
      </c>
      <c r="C182" s="28" t="s">
        <v>298</v>
      </c>
      <c r="D182" s="15" t="s">
        <v>36</v>
      </c>
      <c r="E182" s="15" t="s">
        <v>69</v>
      </c>
      <c r="F182" s="30" t="s">
        <v>220</v>
      </c>
      <c r="G182" s="31" t="s">
        <v>44</v>
      </c>
      <c r="H182" s="677" t="s">
        <v>63</v>
      </c>
      <c r="I182" s="678" t="s">
        <v>457</v>
      </c>
      <c r="J182" s="15" t="s">
        <v>54</v>
      </c>
      <c r="K182" s="29">
        <v>17.600000000000001</v>
      </c>
      <c r="L182" s="29">
        <f>M182-K182</f>
        <v>0</v>
      </c>
      <c r="M182" s="29">
        <v>17.600000000000001</v>
      </c>
      <c r="N182" s="29">
        <v>17.600000000000001</v>
      </c>
    </row>
    <row r="183" spans="1:14" s="121" customFormat="1" ht="18" x14ac:dyDescent="0.35">
      <c r="A183" s="16"/>
      <c r="B183" s="497" t="s">
        <v>176</v>
      </c>
      <c r="C183" s="28" t="s">
        <v>298</v>
      </c>
      <c r="D183" s="15" t="s">
        <v>220</v>
      </c>
      <c r="E183" s="15"/>
      <c r="F183" s="30"/>
      <c r="G183" s="31"/>
      <c r="H183" s="677"/>
      <c r="I183" s="678"/>
      <c r="J183" s="15"/>
      <c r="K183" s="29">
        <f t="shared" ref="K183:N188" si="61">K184</f>
        <v>115.6</v>
      </c>
      <c r="L183" s="29">
        <f t="shared" si="61"/>
        <v>0</v>
      </c>
      <c r="M183" s="29">
        <f t="shared" si="61"/>
        <v>115.6</v>
      </c>
      <c r="N183" s="29">
        <f t="shared" si="61"/>
        <v>115.6</v>
      </c>
    </row>
    <row r="184" spans="1:14" s="121" customFormat="1" ht="36" x14ac:dyDescent="0.35">
      <c r="A184" s="16"/>
      <c r="B184" s="497" t="s">
        <v>494</v>
      </c>
      <c r="C184" s="28" t="s">
        <v>298</v>
      </c>
      <c r="D184" s="15" t="s">
        <v>220</v>
      </c>
      <c r="E184" s="15" t="s">
        <v>63</v>
      </c>
      <c r="F184" s="30"/>
      <c r="G184" s="31"/>
      <c r="H184" s="677"/>
      <c r="I184" s="678"/>
      <c r="J184" s="15"/>
      <c r="K184" s="29">
        <f t="shared" si="61"/>
        <v>115.6</v>
      </c>
      <c r="L184" s="29">
        <f t="shared" si="61"/>
        <v>0</v>
      </c>
      <c r="M184" s="29">
        <f t="shared" si="61"/>
        <v>115.6</v>
      </c>
      <c r="N184" s="29">
        <f t="shared" si="61"/>
        <v>115.6</v>
      </c>
    </row>
    <row r="185" spans="1:14" s="121" customFormat="1" ht="54" x14ac:dyDescent="0.35">
      <c r="A185" s="16"/>
      <c r="B185" s="497" t="s">
        <v>219</v>
      </c>
      <c r="C185" s="28" t="s">
        <v>298</v>
      </c>
      <c r="D185" s="15" t="s">
        <v>220</v>
      </c>
      <c r="E185" s="15" t="s">
        <v>63</v>
      </c>
      <c r="F185" s="30" t="s">
        <v>220</v>
      </c>
      <c r="G185" s="31" t="s">
        <v>41</v>
      </c>
      <c r="H185" s="677" t="s">
        <v>42</v>
      </c>
      <c r="I185" s="678" t="s">
        <v>43</v>
      </c>
      <c r="J185" s="15"/>
      <c r="K185" s="29">
        <f t="shared" si="61"/>
        <v>115.6</v>
      </c>
      <c r="L185" s="29">
        <f t="shared" si="61"/>
        <v>0</v>
      </c>
      <c r="M185" s="29">
        <f t="shared" si="61"/>
        <v>115.6</v>
      </c>
      <c r="N185" s="29">
        <f t="shared" si="61"/>
        <v>115.6</v>
      </c>
    </row>
    <row r="186" spans="1:14" s="121" customFormat="1" ht="36" x14ac:dyDescent="0.35">
      <c r="A186" s="16"/>
      <c r="B186" s="497" t="s">
        <v>335</v>
      </c>
      <c r="C186" s="28" t="s">
        <v>298</v>
      </c>
      <c r="D186" s="15" t="s">
        <v>220</v>
      </c>
      <c r="E186" s="15" t="s">
        <v>63</v>
      </c>
      <c r="F186" s="30" t="s">
        <v>220</v>
      </c>
      <c r="G186" s="31" t="s">
        <v>44</v>
      </c>
      <c r="H186" s="677" t="s">
        <v>42</v>
      </c>
      <c r="I186" s="678" t="s">
        <v>43</v>
      </c>
      <c r="J186" s="15"/>
      <c r="K186" s="29">
        <f t="shared" si="61"/>
        <v>115.6</v>
      </c>
      <c r="L186" s="29">
        <f t="shared" si="61"/>
        <v>0</v>
      </c>
      <c r="M186" s="29">
        <f t="shared" si="61"/>
        <v>115.6</v>
      </c>
      <c r="N186" s="29">
        <f t="shared" si="61"/>
        <v>115.6</v>
      </c>
    </row>
    <row r="187" spans="1:14" s="121" customFormat="1" ht="54" x14ac:dyDescent="0.35">
      <c r="A187" s="16"/>
      <c r="B187" s="497" t="s">
        <v>299</v>
      </c>
      <c r="C187" s="28" t="s">
        <v>298</v>
      </c>
      <c r="D187" s="15" t="s">
        <v>220</v>
      </c>
      <c r="E187" s="15" t="s">
        <v>63</v>
      </c>
      <c r="F187" s="30" t="s">
        <v>220</v>
      </c>
      <c r="G187" s="31" t="s">
        <v>44</v>
      </c>
      <c r="H187" s="677" t="s">
        <v>36</v>
      </c>
      <c r="I187" s="678" t="s">
        <v>43</v>
      </c>
      <c r="J187" s="15"/>
      <c r="K187" s="29">
        <f t="shared" si="61"/>
        <v>115.6</v>
      </c>
      <c r="L187" s="29">
        <f t="shared" si="61"/>
        <v>0</v>
      </c>
      <c r="M187" s="29">
        <f t="shared" si="61"/>
        <v>115.6</v>
      </c>
      <c r="N187" s="29">
        <f t="shared" si="61"/>
        <v>115.6</v>
      </c>
    </row>
    <row r="188" spans="1:14" s="121" customFormat="1" ht="36" x14ac:dyDescent="0.35">
      <c r="A188" s="16"/>
      <c r="B188" s="497" t="s">
        <v>496</v>
      </c>
      <c r="C188" s="28" t="s">
        <v>298</v>
      </c>
      <c r="D188" s="15" t="s">
        <v>220</v>
      </c>
      <c r="E188" s="15" t="s">
        <v>63</v>
      </c>
      <c r="F188" s="30" t="s">
        <v>220</v>
      </c>
      <c r="G188" s="31" t="s">
        <v>44</v>
      </c>
      <c r="H188" s="677" t="s">
        <v>36</v>
      </c>
      <c r="I188" s="678" t="s">
        <v>495</v>
      </c>
      <c r="J188" s="15"/>
      <c r="K188" s="29">
        <f t="shared" si="61"/>
        <v>115.6</v>
      </c>
      <c r="L188" s="29">
        <f t="shared" si="61"/>
        <v>0</v>
      </c>
      <c r="M188" s="29">
        <f t="shared" si="61"/>
        <v>115.6</v>
      </c>
      <c r="N188" s="29">
        <f t="shared" si="61"/>
        <v>115.6</v>
      </c>
    </row>
    <row r="189" spans="1:14" s="121" customFormat="1" ht="54" x14ac:dyDescent="0.35">
      <c r="A189" s="16"/>
      <c r="B189" s="497" t="s">
        <v>53</v>
      </c>
      <c r="C189" s="28" t="s">
        <v>298</v>
      </c>
      <c r="D189" s="15" t="s">
        <v>220</v>
      </c>
      <c r="E189" s="15" t="s">
        <v>63</v>
      </c>
      <c r="F189" s="30" t="s">
        <v>220</v>
      </c>
      <c r="G189" s="31" t="s">
        <v>44</v>
      </c>
      <c r="H189" s="677" t="s">
        <v>36</v>
      </c>
      <c r="I189" s="678" t="s">
        <v>495</v>
      </c>
      <c r="J189" s="15" t="s">
        <v>54</v>
      </c>
      <c r="K189" s="29">
        <v>115.6</v>
      </c>
      <c r="L189" s="29">
        <f>M189-K189</f>
        <v>0</v>
      </c>
      <c r="M189" s="29">
        <v>115.6</v>
      </c>
      <c r="N189" s="29">
        <v>115.6</v>
      </c>
    </row>
    <row r="190" spans="1:14" s="121" customFormat="1" ht="54" x14ac:dyDescent="0.35">
      <c r="A190" s="16"/>
      <c r="B190" s="497" t="s">
        <v>197</v>
      </c>
      <c r="C190" s="28" t="s">
        <v>298</v>
      </c>
      <c r="D190" s="15" t="s">
        <v>86</v>
      </c>
      <c r="E190" s="15"/>
      <c r="F190" s="30"/>
      <c r="G190" s="31"/>
      <c r="H190" s="677"/>
      <c r="I190" s="678"/>
      <c r="J190" s="15"/>
      <c r="K190" s="29">
        <f t="shared" ref="K190:N193" si="62">K191</f>
        <v>9000</v>
      </c>
      <c r="L190" s="29">
        <f t="shared" si="62"/>
        <v>0</v>
      </c>
      <c r="M190" s="29">
        <f t="shared" si="62"/>
        <v>9000</v>
      </c>
      <c r="N190" s="29">
        <f t="shared" si="62"/>
        <v>9000</v>
      </c>
    </row>
    <row r="191" spans="1:14" s="121" customFormat="1" ht="54" x14ac:dyDescent="0.35">
      <c r="A191" s="16"/>
      <c r="B191" s="546" t="s">
        <v>198</v>
      </c>
      <c r="C191" s="28" t="s">
        <v>298</v>
      </c>
      <c r="D191" s="15" t="s">
        <v>86</v>
      </c>
      <c r="E191" s="15" t="s">
        <v>36</v>
      </c>
      <c r="F191" s="30"/>
      <c r="G191" s="31"/>
      <c r="H191" s="677"/>
      <c r="I191" s="678"/>
      <c r="J191" s="15"/>
      <c r="K191" s="29">
        <f t="shared" si="62"/>
        <v>9000</v>
      </c>
      <c r="L191" s="29">
        <f t="shared" si="62"/>
        <v>0</v>
      </c>
      <c r="M191" s="29">
        <f t="shared" si="62"/>
        <v>9000</v>
      </c>
      <c r="N191" s="29">
        <f t="shared" si="62"/>
        <v>9000</v>
      </c>
    </row>
    <row r="192" spans="1:14" s="121" customFormat="1" ht="54" x14ac:dyDescent="0.35">
      <c r="A192" s="16"/>
      <c r="B192" s="497" t="s">
        <v>219</v>
      </c>
      <c r="C192" s="28" t="s">
        <v>298</v>
      </c>
      <c r="D192" s="15" t="s">
        <v>86</v>
      </c>
      <c r="E192" s="15" t="s">
        <v>36</v>
      </c>
      <c r="F192" s="30" t="s">
        <v>220</v>
      </c>
      <c r="G192" s="31" t="s">
        <v>41</v>
      </c>
      <c r="H192" s="677" t="s">
        <v>42</v>
      </c>
      <c r="I192" s="678" t="s">
        <v>43</v>
      </c>
      <c r="J192" s="15"/>
      <c r="K192" s="29">
        <f t="shared" si="62"/>
        <v>9000</v>
      </c>
      <c r="L192" s="29">
        <f t="shared" si="62"/>
        <v>0</v>
      </c>
      <c r="M192" s="29">
        <f t="shared" si="62"/>
        <v>9000</v>
      </c>
      <c r="N192" s="29">
        <f t="shared" si="62"/>
        <v>9000</v>
      </c>
    </row>
    <row r="193" spans="1:14" s="121" customFormat="1" ht="36" x14ac:dyDescent="0.35">
      <c r="A193" s="16"/>
      <c r="B193" s="497" t="s">
        <v>335</v>
      </c>
      <c r="C193" s="28" t="s">
        <v>298</v>
      </c>
      <c r="D193" s="15" t="s">
        <v>86</v>
      </c>
      <c r="E193" s="15" t="s">
        <v>36</v>
      </c>
      <c r="F193" s="30" t="s">
        <v>220</v>
      </c>
      <c r="G193" s="31" t="s">
        <v>44</v>
      </c>
      <c r="H193" s="677" t="s">
        <v>42</v>
      </c>
      <c r="I193" s="678" t="s">
        <v>43</v>
      </c>
      <c r="J193" s="15"/>
      <c r="K193" s="29">
        <f t="shared" si="62"/>
        <v>9000</v>
      </c>
      <c r="L193" s="29">
        <f t="shared" si="62"/>
        <v>0</v>
      </c>
      <c r="M193" s="29">
        <f t="shared" si="62"/>
        <v>9000</v>
      </c>
      <c r="N193" s="29">
        <f t="shared" si="62"/>
        <v>9000</v>
      </c>
    </row>
    <row r="194" spans="1:14" s="121" customFormat="1" ht="36" x14ac:dyDescent="0.35">
      <c r="A194" s="16"/>
      <c r="B194" s="497" t="s">
        <v>300</v>
      </c>
      <c r="C194" s="28" t="s">
        <v>298</v>
      </c>
      <c r="D194" s="15" t="s">
        <v>86</v>
      </c>
      <c r="E194" s="15" t="s">
        <v>36</v>
      </c>
      <c r="F194" s="30" t="s">
        <v>220</v>
      </c>
      <c r="G194" s="31" t="s">
        <v>44</v>
      </c>
      <c r="H194" s="677" t="s">
        <v>38</v>
      </c>
      <c r="I194" s="678" t="s">
        <v>43</v>
      </c>
      <c r="J194" s="15"/>
      <c r="K194" s="29">
        <f t="shared" ref="K194:N195" si="63">K195</f>
        <v>9000</v>
      </c>
      <c r="L194" s="29">
        <f t="shared" si="63"/>
        <v>0</v>
      </c>
      <c r="M194" s="29">
        <f t="shared" si="63"/>
        <v>9000</v>
      </c>
      <c r="N194" s="29">
        <f t="shared" si="63"/>
        <v>9000</v>
      </c>
    </row>
    <row r="195" spans="1:14" s="121" customFormat="1" ht="36" x14ac:dyDescent="0.35">
      <c r="A195" s="16"/>
      <c r="B195" s="497" t="s">
        <v>254</v>
      </c>
      <c r="C195" s="28" t="s">
        <v>298</v>
      </c>
      <c r="D195" s="15" t="s">
        <v>86</v>
      </c>
      <c r="E195" s="15" t="s">
        <v>36</v>
      </c>
      <c r="F195" s="30" t="s">
        <v>220</v>
      </c>
      <c r="G195" s="31" t="s">
        <v>44</v>
      </c>
      <c r="H195" s="677" t="s">
        <v>38</v>
      </c>
      <c r="I195" s="678" t="s">
        <v>401</v>
      </c>
      <c r="J195" s="15"/>
      <c r="K195" s="29">
        <f t="shared" si="63"/>
        <v>9000</v>
      </c>
      <c r="L195" s="29">
        <f t="shared" si="63"/>
        <v>0</v>
      </c>
      <c r="M195" s="29">
        <f t="shared" si="63"/>
        <v>9000</v>
      </c>
      <c r="N195" s="29">
        <f t="shared" si="63"/>
        <v>9000</v>
      </c>
    </row>
    <row r="196" spans="1:14" s="121" customFormat="1" ht="18" x14ac:dyDescent="0.35">
      <c r="A196" s="16"/>
      <c r="B196" s="497" t="s">
        <v>121</v>
      </c>
      <c r="C196" s="28" t="s">
        <v>298</v>
      </c>
      <c r="D196" s="15" t="s">
        <v>86</v>
      </c>
      <c r="E196" s="15" t="s">
        <v>36</v>
      </c>
      <c r="F196" s="30" t="s">
        <v>220</v>
      </c>
      <c r="G196" s="31" t="s">
        <v>44</v>
      </c>
      <c r="H196" s="677" t="s">
        <v>38</v>
      </c>
      <c r="I196" s="678" t="s">
        <v>401</v>
      </c>
      <c r="J196" s="15" t="s">
        <v>122</v>
      </c>
      <c r="K196" s="29">
        <v>9000</v>
      </c>
      <c r="L196" s="29">
        <f>M196-K196</f>
        <v>0</v>
      </c>
      <c r="M196" s="29">
        <v>9000</v>
      </c>
      <c r="N196" s="29">
        <v>9000</v>
      </c>
    </row>
    <row r="197" spans="1:14" s="121" customFormat="1" ht="18" x14ac:dyDescent="0.35">
      <c r="A197" s="16"/>
      <c r="B197" s="497"/>
      <c r="C197" s="28"/>
      <c r="D197" s="15"/>
      <c r="E197" s="15"/>
      <c r="F197" s="30"/>
      <c r="G197" s="31"/>
      <c r="H197" s="677"/>
      <c r="I197" s="678"/>
      <c r="J197" s="15"/>
      <c r="K197" s="29"/>
      <c r="L197" s="29"/>
      <c r="M197" s="29"/>
      <c r="N197" s="29"/>
    </row>
    <row r="198" spans="1:14" s="122" customFormat="1" ht="52.2" x14ac:dyDescent="0.3">
      <c r="A198" s="115">
        <v>3</v>
      </c>
      <c r="B198" s="543" t="s">
        <v>34</v>
      </c>
      <c r="C198" s="23" t="s">
        <v>126</v>
      </c>
      <c r="D198" s="24"/>
      <c r="E198" s="24"/>
      <c r="F198" s="25"/>
      <c r="G198" s="26"/>
      <c r="H198" s="26"/>
      <c r="I198" s="27"/>
      <c r="J198" s="24"/>
      <c r="K198" s="37">
        <f t="shared" ref="K198:N202" si="64">K199</f>
        <v>7046.2</v>
      </c>
      <c r="L198" s="37">
        <f t="shared" si="64"/>
        <v>0</v>
      </c>
      <c r="M198" s="37">
        <f t="shared" si="64"/>
        <v>7046.2</v>
      </c>
      <c r="N198" s="37">
        <f t="shared" si="64"/>
        <v>7046.2999999999993</v>
      </c>
    </row>
    <row r="199" spans="1:14" s="122" customFormat="1" ht="18" x14ac:dyDescent="0.35">
      <c r="A199" s="16"/>
      <c r="B199" s="497" t="s">
        <v>35</v>
      </c>
      <c r="C199" s="28" t="s">
        <v>126</v>
      </c>
      <c r="D199" s="15" t="s">
        <v>36</v>
      </c>
      <c r="E199" s="15"/>
      <c r="F199" s="676"/>
      <c r="G199" s="677"/>
      <c r="H199" s="677"/>
      <c r="I199" s="678"/>
      <c r="J199" s="15"/>
      <c r="K199" s="29">
        <f t="shared" si="64"/>
        <v>7046.2</v>
      </c>
      <c r="L199" s="29">
        <f t="shared" si="64"/>
        <v>0</v>
      </c>
      <c r="M199" s="29">
        <f t="shared" si="64"/>
        <v>7046.2</v>
      </c>
      <c r="N199" s="29">
        <f t="shared" si="64"/>
        <v>7046.2999999999993</v>
      </c>
    </row>
    <row r="200" spans="1:14" s="122" customFormat="1" ht="54" x14ac:dyDescent="0.35">
      <c r="A200" s="16"/>
      <c r="B200" s="497" t="s">
        <v>127</v>
      </c>
      <c r="C200" s="28" t="s">
        <v>126</v>
      </c>
      <c r="D200" s="15" t="s">
        <v>36</v>
      </c>
      <c r="E200" s="15" t="s">
        <v>79</v>
      </c>
      <c r="F200" s="676"/>
      <c r="G200" s="677"/>
      <c r="H200" s="677"/>
      <c r="I200" s="678"/>
      <c r="J200" s="15"/>
      <c r="K200" s="29">
        <f t="shared" si="64"/>
        <v>7046.2</v>
      </c>
      <c r="L200" s="29">
        <f t="shared" si="64"/>
        <v>0</v>
      </c>
      <c r="M200" s="29">
        <f t="shared" si="64"/>
        <v>7046.2</v>
      </c>
      <c r="N200" s="29">
        <f t="shared" si="64"/>
        <v>7046.2999999999993</v>
      </c>
    </row>
    <row r="201" spans="1:14" s="122" customFormat="1" ht="36" x14ac:dyDescent="0.35">
      <c r="A201" s="16"/>
      <c r="B201" s="529" t="s">
        <v>128</v>
      </c>
      <c r="C201" s="28" t="s">
        <v>126</v>
      </c>
      <c r="D201" s="15" t="s">
        <v>36</v>
      </c>
      <c r="E201" s="15" t="s">
        <v>79</v>
      </c>
      <c r="F201" s="676" t="s">
        <v>129</v>
      </c>
      <c r="G201" s="677" t="s">
        <v>41</v>
      </c>
      <c r="H201" s="677" t="s">
        <v>42</v>
      </c>
      <c r="I201" s="678" t="s">
        <v>43</v>
      </c>
      <c r="J201" s="15"/>
      <c r="K201" s="29">
        <f t="shared" si="64"/>
        <v>7046.2</v>
      </c>
      <c r="L201" s="29">
        <f t="shared" si="64"/>
        <v>0</v>
      </c>
      <c r="M201" s="29">
        <f t="shared" si="64"/>
        <v>7046.2</v>
      </c>
      <c r="N201" s="29">
        <f t="shared" si="64"/>
        <v>7046.2999999999993</v>
      </c>
    </row>
    <row r="202" spans="1:14" s="122" customFormat="1" ht="36" x14ac:dyDescent="0.35">
      <c r="A202" s="16"/>
      <c r="B202" s="529" t="s">
        <v>130</v>
      </c>
      <c r="C202" s="28" t="s">
        <v>126</v>
      </c>
      <c r="D202" s="15" t="s">
        <v>36</v>
      </c>
      <c r="E202" s="15" t="s">
        <v>79</v>
      </c>
      <c r="F202" s="676" t="s">
        <v>129</v>
      </c>
      <c r="G202" s="677" t="s">
        <v>44</v>
      </c>
      <c r="H202" s="677" t="s">
        <v>42</v>
      </c>
      <c r="I202" s="678" t="s">
        <v>43</v>
      </c>
      <c r="J202" s="15"/>
      <c r="K202" s="29">
        <f>K203</f>
        <v>7046.2</v>
      </c>
      <c r="L202" s="29">
        <f t="shared" si="64"/>
        <v>0</v>
      </c>
      <c r="M202" s="29">
        <f>M203</f>
        <v>7046.2</v>
      </c>
      <c r="N202" s="29">
        <f>N203</f>
        <v>7046.2999999999993</v>
      </c>
    </row>
    <row r="203" spans="1:14" s="122" customFormat="1" ht="36" x14ac:dyDescent="0.35">
      <c r="A203" s="16"/>
      <c r="B203" s="497" t="s">
        <v>46</v>
      </c>
      <c r="C203" s="28" t="s">
        <v>126</v>
      </c>
      <c r="D203" s="15" t="s">
        <v>36</v>
      </c>
      <c r="E203" s="15" t="s">
        <v>79</v>
      </c>
      <c r="F203" s="676" t="s">
        <v>129</v>
      </c>
      <c r="G203" s="677" t="s">
        <v>44</v>
      </c>
      <c r="H203" s="677" t="s">
        <v>42</v>
      </c>
      <c r="I203" s="678" t="s">
        <v>47</v>
      </c>
      <c r="J203" s="15"/>
      <c r="K203" s="29">
        <f>K204+K205+K206</f>
        <v>7046.2</v>
      </c>
      <c r="L203" s="29">
        <f t="shared" ref="L203" si="65">L204+L205+L206</f>
        <v>0</v>
      </c>
      <c r="M203" s="29">
        <f>M204+M205+M206</f>
        <v>7046.2</v>
      </c>
      <c r="N203" s="29">
        <f>N204+N205+N206</f>
        <v>7046.2999999999993</v>
      </c>
    </row>
    <row r="204" spans="1:14" s="122" customFormat="1" ht="108" x14ac:dyDescent="0.35">
      <c r="A204" s="16"/>
      <c r="B204" s="497" t="s">
        <v>48</v>
      </c>
      <c r="C204" s="28" t="s">
        <v>126</v>
      </c>
      <c r="D204" s="15" t="s">
        <v>36</v>
      </c>
      <c r="E204" s="15" t="s">
        <v>79</v>
      </c>
      <c r="F204" s="676" t="s">
        <v>129</v>
      </c>
      <c r="G204" s="677" t="s">
        <v>44</v>
      </c>
      <c r="H204" s="677" t="s">
        <v>42</v>
      </c>
      <c r="I204" s="678" t="s">
        <v>47</v>
      </c>
      <c r="J204" s="15" t="s">
        <v>49</v>
      </c>
      <c r="K204" s="29">
        <f>6799.4+11.2</f>
        <v>6810.5999999999995</v>
      </c>
      <c r="L204" s="29">
        <f>M204-K204</f>
        <v>0</v>
      </c>
      <c r="M204" s="29">
        <f>6799.4+11.2</f>
        <v>6810.5999999999995</v>
      </c>
      <c r="N204" s="29">
        <f>6799.4+11.2</f>
        <v>6810.5999999999995</v>
      </c>
    </row>
    <row r="205" spans="1:14" s="122" customFormat="1" ht="54" x14ac:dyDescent="0.35">
      <c r="A205" s="16"/>
      <c r="B205" s="497" t="s">
        <v>53</v>
      </c>
      <c r="C205" s="28" t="s">
        <v>126</v>
      </c>
      <c r="D205" s="15" t="s">
        <v>36</v>
      </c>
      <c r="E205" s="15" t="s">
        <v>79</v>
      </c>
      <c r="F205" s="676" t="s">
        <v>129</v>
      </c>
      <c r="G205" s="677" t="s">
        <v>44</v>
      </c>
      <c r="H205" s="677" t="s">
        <v>42</v>
      </c>
      <c r="I205" s="678" t="s">
        <v>47</v>
      </c>
      <c r="J205" s="15" t="s">
        <v>54</v>
      </c>
      <c r="K205" s="29">
        <v>216.6</v>
      </c>
      <c r="L205" s="29">
        <f>M205-K205</f>
        <v>0</v>
      </c>
      <c r="M205" s="29">
        <v>216.6</v>
      </c>
      <c r="N205" s="29">
        <v>216.7</v>
      </c>
    </row>
    <row r="206" spans="1:14" s="122" customFormat="1" ht="18" x14ac:dyDescent="0.35">
      <c r="A206" s="16"/>
      <c r="B206" s="497" t="s">
        <v>55</v>
      </c>
      <c r="C206" s="28" t="s">
        <v>126</v>
      </c>
      <c r="D206" s="15" t="s">
        <v>36</v>
      </c>
      <c r="E206" s="15" t="s">
        <v>79</v>
      </c>
      <c r="F206" s="676" t="s">
        <v>129</v>
      </c>
      <c r="G206" s="677" t="s">
        <v>44</v>
      </c>
      <c r="H206" s="677" t="s">
        <v>42</v>
      </c>
      <c r="I206" s="678" t="s">
        <v>47</v>
      </c>
      <c r="J206" s="15" t="s">
        <v>56</v>
      </c>
      <c r="K206" s="29">
        <v>19</v>
      </c>
      <c r="L206" s="29">
        <f>M206-K206</f>
        <v>0</v>
      </c>
      <c r="M206" s="29">
        <v>19</v>
      </c>
      <c r="N206" s="29">
        <v>19</v>
      </c>
    </row>
    <row r="207" spans="1:14" s="122" customFormat="1" ht="18" x14ac:dyDescent="0.35">
      <c r="A207" s="16"/>
      <c r="B207" s="497"/>
      <c r="C207" s="28"/>
      <c r="D207" s="15"/>
      <c r="E207" s="15"/>
      <c r="F207" s="676"/>
      <c r="G207" s="677"/>
      <c r="H207" s="677"/>
      <c r="I207" s="678"/>
      <c r="J207" s="15"/>
      <c r="K207" s="29"/>
      <c r="L207" s="29"/>
      <c r="M207" s="29"/>
      <c r="N207" s="29"/>
    </row>
    <row r="208" spans="1:14" s="130" customFormat="1" ht="52.2" x14ac:dyDescent="0.3">
      <c r="A208" s="123">
        <v>4</v>
      </c>
      <c r="B208" s="574" t="s">
        <v>6</v>
      </c>
      <c r="C208" s="124" t="s">
        <v>408</v>
      </c>
      <c r="D208" s="125"/>
      <c r="E208" s="125"/>
      <c r="F208" s="126"/>
      <c r="G208" s="127"/>
      <c r="H208" s="127"/>
      <c r="I208" s="128"/>
      <c r="J208" s="125"/>
      <c r="K208" s="129">
        <f>K209+K257+K244</f>
        <v>82103.599999999991</v>
      </c>
      <c r="L208" s="129">
        <f t="shared" ref="L208" si="66">L209+L257+L244</f>
        <v>22518.800000000003</v>
      </c>
      <c r="M208" s="129">
        <f>M209+M257+M244</f>
        <v>104622.40000000001</v>
      </c>
      <c r="N208" s="129">
        <f>N209+N257+N244</f>
        <v>98964.6</v>
      </c>
    </row>
    <row r="209" spans="1:14" s="136" customFormat="1" ht="18" x14ac:dyDescent="0.35">
      <c r="A209" s="131"/>
      <c r="B209" s="540" t="s">
        <v>35</v>
      </c>
      <c r="C209" s="132" t="s">
        <v>408</v>
      </c>
      <c r="D209" s="133" t="s">
        <v>36</v>
      </c>
      <c r="E209" s="89"/>
      <c r="F209" s="134"/>
      <c r="G209" s="87"/>
      <c r="H209" s="87"/>
      <c r="I209" s="88"/>
      <c r="J209" s="89"/>
      <c r="K209" s="135">
        <f>K210</f>
        <v>39874.470619999993</v>
      </c>
      <c r="L209" s="135">
        <f t="shared" ref="L209" si="67">L210</f>
        <v>21.75468</v>
      </c>
      <c r="M209" s="135">
        <f>M210</f>
        <v>39896.225299999991</v>
      </c>
      <c r="N209" s="135">
        <f>N210</f>
        <v>39909.805900000007</v>
      </c>
    </row>
    <row r="210" spans="1:14" s="130" customFormat="1" ht="18" x14ac:dyDescent="0.35">
      <c r="A210" s="131"/>
      <c r="B210" s="540" t="s">
        <v>68</v>
      </c>
      <c r="C210" s="132" t="s">
        <v>408</v>
      </c>
      <c r="D210" s="133" t="s">
        <v>36</v>
      </c>
      <c r="E210" s="133" t="s">
        <v>69</v>
      </c>
      <c r="F210" s="134"/>
      <c r="G210" s="87"/>
      <c r="H210" s="87"/>
      <c r="I210" s="88"/>
      <c r="J210" s="89"/>
      <c r="K210" s="135">
        <f>K211+K238+K234</f>
        <v>39874.470619999993</v>
      </c>
      <c r="L210" s="135">
        <f t="shared" ref="L210" si="68">L211+L238+L234</f>
        <v>21.75468</v>
      </c>
      <c r="M210" s="135">
        <f>M211+M238+M234</f>
        <v>39896.225299999991</v>
      </c>
      <c r="N210" s="135">
        <f>N211+N238+N234</f>
        <v>39909.805900000007</v>
      </c>
    </row>
    <row r="211" spans="1:14" s="136" customFormat="1" ht="54" x14ac:dyDescent="0.35">
      <c r="A211" s="131"/>
      <c r="B211" s="540" t="s">
        <v>221</v>
      </c>
      <c r="C211" s="132" t="s">
        <v>408</v>
      </c>
      <c r="D211" s="133" t="s">
        <v>36</v>
      </c>
      <c r="E211" s="133" t="s">
        <v>69</v>
      </c>
      <c r="F211" s="97" t="s">
        <v>222</v>
      </c>
      <c r="G211" s="87" t="s">
        <v>41</v>
      </c>
      <c r="H211" s="87" t="s">
        <v>42</v>
      </c>
      <c r="I211" s="88" t="s">
        <v>43</v>
      </c>
      <c r="J211" s="89"/>
      <c r="K211" s="135">
        <f>K212+K216</f>
        <v>33178.199999999997</v>
      </c>
      <c r="L211" s="135">
        <f t="shared" ref="L211" si="69">L212+L216</f>
        <v>0</v>
      </c>
      <c r="M211" s="135">
        <f>M212+M216</f>
        <v>33178.199999999997</v>
      </c>
      <c r="N211" s="135">
        <f>N212+N216</f>
        <v>33188.700000000004</v>
      </c>
    </row>
    <row r="212" spans="1:14" s="136" customFormat="1" ht="36" x14ac:dyDescent="0.35">
      <c r="A212" s="131"/>
      <c r="B212" s="540" t="s">
        <v>223</v>
      </c>
      <c r="C212" s="132" t="s">
        <v>408</v>
      </c>
      <c r="D212" s="133" t="s">
        <v>36</v>
      </c>
      <c r="E212" s="133" t="s">
        <v>69</v>
      </c>
      <c r="F212" s="137" t="s">
        <v>222</v>
      </c>
      <c r="G212" s="138" t="s">
        <v>44</v>
      </c>
      <c r="H212" s="138" t="s">
        <v>42</v>
      </c>
      <c r="I212" s="139" t="s">
        <v>43</v>
      </c>
      <c r="J212" s="89"/>
      <c r="K212" s="135">
        <f t="shared" ref="K212:N214" si="70">K213</f>
        <v>1246.5</v>
      </c>
      <c r="L212" s="135">
        <f t="shared" si="70"/>
        <v>0</v>
      </c>
      <c r="M212" s="135">
        <f t="shared" si="70"/>
        <v>1246.5</v>
      </c>
      <c r="N212" s="135">
        <f t="shared" si="70"/>
        <v>1254.0999999999999</v>
      </c>
    </row>
    <row r="213" spans="1:14" s="130" customFormat="1" ht="36" x14ac:dyDescent="0.35">
      <c r="A213" s="131"/>
      <c r="B213" s="550" t="s">
        <v>334</v>
      </c>
      <c r="C213" s="132" t="s">
        <v>408</v>
      </c>
      <c r="D213" s="133" t="s">
        <v>36</v>
      </c>
      <c r="E213" s="133" t="s">
        <v>69</v>
      </c>
      <c r="F213" s="86" t="s">
        <v>222</v>
      </c>
      <c r="G213" s="87" t="s">
        <v>44</v>
      </c>
      <c r="H213" s="87" t="s">
        <v>38</v>
      </c>
      <c r="I213" s="88" t="s">
        <v>43</v>
      </c>
      <c r="J213" s="89"/>
      <c r="K213" s="135">
        <f>K214</f>
        <v>1246.5</v>
      </c>
      <c r="L213" s="135">
        <f t="shared" si="70"/>
        <v>0</v>
      </c>
      <c r="M213" s="135">
        <f>M214</f>
        <v>1246.5</v>
      </c>
      <c r="N213" s="135">
        <f>N214</f>
        <v>1254.0999999999999</v>
      </c>
    </row>
    <row r="214" spans="1:14" s="130" customFormat="1" ht="36" x14ac:dyDescent="0.35">
      <c r="A214" s="131"/>
      <c r="B214" s="550" t="s">
        <v>333</v>
      </c>
      <c r="C214" s="132" t="s">
        <v>408</v>
      </c>
      <c r="D214" s="133" t="s">
        <v>36</v>
      </c>
      <c r="E214" s="133" t="s">
        <v>69</v>
      </c>
      <c r="F214" s="86" t="s">
        <v>222</v>
      </c>
      <c r="G214" s="87" t="s">
        <v>44</v>
      </c>
      <c r="H214" s="87" t="s">
        <v>38</v>
      </c>
      <c r="I214" s="88" t="s">
        <v>332</v>
      </c>
      <c r="J214" s="89"/>
      <c r="K214" s="135">
        <f t="shared" si="70"/>
        <v>1246.5</v>
      </c>
      <c r="L214" s="135">
        <f t="shared" si="70"/>
        <v>0</v>
      </c>
      <c r="M214" s="135">
        <f t="shared" si="70"/>
        <v>1246.5</v>
      </c>
      <c r="N214" s="135">
        <f t="shared" si="70"/>
        <v>1254.0999999999999</v>
      </c>
    </row>
    <row r="215" spans="1:14" s="130" customFormat="1" ht="54" x14ac:dyDescent="0.35">
      <c r="A215" s="131"/>
      <c r="B215" s="550" t="s">
        <v>53</v>
      </c>
      <c r="C215" s="132" t="s">
        <v>408</v>
      </c>
      <c r="D215" s="133" t="s">
        <v>36</v>
      </c>
      <c r="E215" s="133" t="s">
        <v>69</v>
      </c>
      <c r="F215" s="86" t="s">
        <v>222</v>
      </c>
      <c r="G215" s="87" t="s">
        <v>44</v>
      </c>
      <c r="H215" s="87" t="s">
        <v>38</v>
      </c>
      <c r="I215" s="88" t="s">
        <v>332</v>
      </c>
      <c r="J215" s="89" t="s">
        <v>54</v>
      </c>
      <c r="K215" s="135">
        <v>1246.5</v>
      </c>
      <c r="L215" s="29">
        <f>M215-K215</f>
        <v>0</v>
      </c>
      <c r="M215" s="135">
        <v>1246.5</v>
      </c>
      <c r="N215" s="135">
        <v>1254.0999999999999</v>
      </c>
    </row>
    <row r="216" spans="1:14" s="130" customFormat="1" ht="36" x14ac:dyDescent="0.35">
      <c r="A216" s="131"/>
      <c r="B216" s="540" t="s">
        <v>225</v>
      </c>
      <c r="C216" s="132" t="s">
        <v>408</v>
      </c>
      <c r="D216" s="133" t="s">
        <v>36</v>
      </c>
      <c r="E216" s="133" t="s">
        <v>69</v>
      </c>
      <c r="F216" s="97" t="s">
        <v>222</v>
      </c>
      <c r="G216" s="87" t="s">
        <v>87</v>
      </c>
      <c r="H216" s="87" t="s">
        <v>42</v>
      </c>
      <c r="I216" s="88" t="s">
        <v>43</v>
      </c>
      <c r="J216" s="89"/>
      <c r="K216" s="135">
        <f>K217+K228+K231</f>
        <v>31931.699999999997</v>
      </c>
      <c r="L216" s="135">
        <f t="shared" ref="L216" si="71">L217+L228+L231</f>
        <v>0</v>
      </c>
      <c r="M216" s="135">
        <f>M217+M228+M231</f>
        <v>31931.699999999997</v>
      </c>
      <c r="N216" s="135">
        <f>N217+N228+N231</f>
        <v>31934.600000000002</v>
      </c>
    </row>
    <row r="217" spans="1:14" s="136" customFormat="1" ht="72" x14ac:dyDescent="0.35">
      <c r="A217" s="131"/>
      <c r="B217" s="540" t="s">
        <v>297</v>
      </c>
      <c r="C217" s="132" t="s">
        <v>408</v>
      </c>
      <c r="D217" s="133" t="s">
        <v>36</v>
      </c>
      <c r="E217" s="133" t="s">
        <v>69</v>
      </c>
      <c r="F217" s="97" t="s">
        <v>222</v>
      </c>
      <c r="G217" s="87" t="s">
        <v>87</v>
      </c>
      <c r="H217" s="87" t="s">
        <v>36</v>
      </c>
      <c r="I217" s="88" t="s">
        <v>43</v>
      </c>
      <c r="J217" s="89"/>
      <c r="K217" s="135">
        <f>K218+K222+K226</f>
        <v>31109.899999999998</v>
      </c>
      <c r="L217" s="135">
        <f t="shared" ref="L217" si="72">L218+L222+L226</f>
        <v>0</v>
      </c>
      <c r="M217" s="135">
        <f>M218+M222+M226</f>
        <v>31109.899999999998</v>
      </c>
      <c r="N217" s="135">
        <f>N218+N222+N226</f>
        <v>31112.800000000003</v>
      </c>
    </row>
    <row r="218" spans="1:14" s="130" customFormat="1" ht="36" x14ac:dyDescent="0.35">
      <c r="A218" s="131"/>
      <c r="B218" s="540" t="s">
        <v>46</v>
      </c>
      <c r="C218" s="132" t="s">
        <v>408</v>
      </c>
      <c r="D218" s="133" t="s">
        <v>36</v>
      </c>
      <c r="E218" s="133" t="s">
        <v>69</v>
      </c>
      <c r="F218" s="140" t="s">
        <v>222</v>
      </c>
      <c r="G218" s="138" t="s">
        <v>87</v>
      </c>
      <c r="H218" s="138" t="s">
        <v>36</v>
      </c>
      <c r="I218" s="139" t="s">
        <v>47</v>
      </c>
      <c r="J218" s="89"/>
      <c r="K218" s="135">
        <f>K219+K220+K221</f>
        <v>16963.100000000002</v>
      </c>
      <c r="L218" s="135">
        <f t="shared" ref="L218" si="73">L219+L220+L221</f>
        <v>0</v>
      </c>
      <c r="M218" s="135">
        <f>M219+M220+M221</f>
        <v>16963.100000000002</v>
      </c>
      <c r="N218" s="135">
        <f>N219+N220+N221</f>
        <v>16963.500000000004</v>
      </c>
    </row>
    <row r="219" spans="1:14" s="136" customFormat="1" ht="108" x14ac:dyDescent="0.35">
      <c r="A219" s="131"/>
      <c r="B219" s="497" t="s">
        <v>48</v>
      </c>
      <c r="C219" s="132" t="s">
        <v>408</v>
      </c>
      <c r="D219" s="133" t="s">
        <v>36</v>
      </c>
      <c r="E219" s="133" t="s">
        <v>69</v>
      </c>
      <c r="F219" s="97" t="s">
        <v>222</v>
      </c>
      <c r="G219" s="87" t="s">
        <v>87</v>
      </c>
      <c r="H219" s="87" t="s">
        <v>36</v>
      </c>
      <c r="I219" s="88" t="s">
        <v>47</v>
      </c>
      <c r="J219" s="89" t="s">
        <v>49</v>
      </c>
      <c r="K219" s="135">
        <f>16396.9+176.7</f>
        <v>16573.600000000002</v>
      </c>
      <c r="L219" s="29">
        <f>M219-K219</f>
        <v>0</v>
      </c>
      <c r="M219" s="135">
        <f>16396.9+176.7</f>
        <v>16573.600000000002</v>
      </c>
      <c r="N219" s="135">
        <f>16396.9+176.7</f>
        <v>16573.600000000002</v>
      </c>
    </row>
    <row r="220" spans="1:14" s="136" customFormat="1" ht="54" x14ac:dyDescent="0.35">
      <c r="A220" s="131"/>
      <c r="B220" s="550" t="s">
        <v>53</v>
      </c>
      <c r="C220" s="132" t="s">
        <v>408</v>
      </c>
      <c r="D220" s="133" t="s">
        <v>36</v>
      </c>
      <c r="E220" s="133" t="s">
        <v>69</v>
      </c>
      <c r="F220" s="97" t="s">
        <v>222</v>
      </c>
      <c r="G220" s="87" t="s">
        <v>87</v>
      </c>
      <c r="H220" s="87" t="s">
        <v>36</v>
      </c>
      <c r="I220" s="88" t="s">
        <v>47</v>
      </c>
      <c r="J220" s="89" t="s">
        <v>54</v>
      </c>
      <c r="K220" s="135">
        <v>388</v>
      </c>
      <c r="L220" s="29">
        <f>M220-K220</f>
        <v>0</v>
      </c>
      <c r="M220" s="135">
        <v>388</v>
      </c>
      <c r="N220" s="135">
        <v>388.4</v>
      </c>
    </row>
    <row r="221" spans="1:14" s="136" customFormat="1" ht="18" x14ac:dyDescent="0.35">
      <c r="A221" s="131"/>
      <c r="B221" s="540" t="s">
        <v>55</v>
      </c>
      <c r="C221" s="132" t="s">
        <v>408</v>
      </c>
      <c r="D221" s="133" t="s">
        <v>36</v>
      </c>
      <c r="E221" s="133" t="s">
        <v>69</v>
      </c>
      <c r="F221" s="97" t="s">
        <v>222</v>
      </c>
      <c r="G221" s="87" t="s">
        <v>87</v>
      </c>
      <c r="H221" s="87" t="s">
        <v>36</v>
      </c>
      <c r="I221" s="88" t="s">
        <v>47</v>
      </c>
      <c r="J221" s="89" t="s">
        <v>56</v>
      </c>
      <c r="K221" s="135">
        <v>1.5</v>
      </c>
      <c r="L221" s="29">
        <f>M221-K221</f>
        <v>0</v>
      </c>
      <c r="M221" s="135">
        <v>1.5</v>
      </c>
      <c r="N221" s="135">
        <v>1.5</v>
      </c>
    </row>
    <row r="222" spans="1:14" s="136" customFormat="1" ht="36" x14ac:dyDescent="0.35">
      <c r="A222" s="131"/>
      <c r="B222" s="573" t="s">
        <v>454</v>
      </c>
      <c r="C222" s="132" t="s">
        <v>408</v>
      </c>
      <c r="D222" s="133" t="s">
        <v>36</v>
      </c>
      <c r="E222" s="133" t="s">
        <v>69</v>
      </c>
      <c r="F222" s="97" t="s">
        <v>222</v>
      </c>
      <c r="G222" s="87" t="s">
        <v>87</v>
      </c>
      <c r="H222" s="87" t="s">
        <v>36</v>
      </c>
      <c r="I222" s="88" t="s">
        <v>89</v>
      </c>
      <c r="J222" s="89"/>
      <c r="K222" s="135">
        <f>K223+K224+K225</f>
        <v>13745.499999999998</v>
      </c>
      <c r="L222" s="135">
        <f t="shared" ref="L222" si="74">L223+L224+L225</f>
        <v>0</v>
      </c>
      <c r="M222" s="135">
        <f>M223+M224+M225</f>
        <v>13745.499999999998</v>
      </c>
      <c r="N222" s="135">
        <f>N223+N224+N225</f>
        <v>13748</v>
      </c>
    </row>
    <row r="223" spans="1:14" s="136" customFormat="1" ht="108" x14ac:dyDescent="0.35">
      <c r="A223" s="131"/>
      <c r="B223" s="497" t="s">
        <v>48</v>
      </c>
      <c r="C223" s="132" t="s">
        <v>408</v>
      </c>
      <c r="D223" s="133" t="s">
        <v>36</v>
      </c>
      <c r="E223" s="133" t="s">
        <v>69</v>
      </c>
      <c r="F223" s="97" t="s">
        <v>222</v>
      </c>
      <c r="G223" s="87" t="s">
        <v>87</v>
      </c>
      <c r="H223" s="87" t="s">
        <v>36</v>
      </c>
      <c r="I223" s="88" t="s">
        <v>89</v>
      </c>
      <c r="J223" s="89" t="s">
        <v>49</v>
      </c>
      <c r="K223" s="135">
        <f>10014.4+3013.5+7.3</f>
        <v>13035.199999999999</v>
      </c>
      <c r="L223" s="29">
        <f>M223-K223</f>
        <v>0</v>
      </c>
      <c r="M223" s="135">
        <f>10014.4+3013.5+7.3</f>
        <v>13035.199999999999</v>
      </c>
      <c r="N223" s="135">
        <f>10014.4+3013.5+7.3</f>
        <v>13035.199999999999</v>
      </c>
    </row>
    <row r="224" spans="1:14" s="136" customFormat="1" ht="54" x14ac:dyDescent="0.35">
      <c r="A224" s="131"/>
      <c r="B224" s="550" t="s">
        <v>53</v>
      </c>
      <c r="C224" s="132" t="s">
        <v>408</v>
      </c>
      <c r="D224" s="133" t="s">
        <v>36</v>
      </c>
      <c r="E224" s="133" t="s">
        <v>69</v>
      </c>
      <c r="F224" s="140" t="s">
        <v>222</v>
      </c>
      <c r="G224" s="138" t="s">
        <v>87</v>
      </c>
      <c r="H224" s="138" t="s">
        <v>36</v>
      </c>
      <c r="I224" s="139" t="s">
        <v>89</v>
      </c>
      <c r="J224" s="89" t="s">
        <v>54</v>
      </c>
      <c r="K224" s="135">
        <v>689</v>
      </c>
      <c r="L224" s="29">
        <f>M224-K224</f>
        <v>0</v>
      </c>
      <c r="M224" s="135">
        <v>689</v>
      </c>
      <c r="N224" s="135">
        <v>692.6</v>
      </c>
    </row>
    <row r="225" spans="1:14" s="136" customFormat="1" ht="18" x14ac:dyDescent="0.35">
      <c r="A225" s="131"/>
      <c r="B225" s="540" t="s">
        <v>55</v>
      </c>
      <c r="C225" s="132" t="s">
        <v>408</v>
      </c>
      <c r="D225" s="133" t="s">
        <v>36</v>
      </c>
      <c r="E225" s="133" t="s">
        <v>69</v>
      </c>
      <c r="F225" s="97" t="s">
        <v>222</v>
      </c>
      <c r="G225" s="87" t="s">
        <v>87</v>
      </c>
      <c r="H225" s="87" t="s">
        <v>36</v>
      </c>
      <c r="I225" s="88" t="s">
        <v>89</v>
      </c>
      <c r="J225" s="89" t="s">
        <v>56</v>
      </c>
      <c r="K225" s="135">
        <v>21.3</v>
      </c>
      <c r="L225" s="29">
        <f>M225-K225</f>
        <v>0</v>
      </c>
      <c r="M225" s="135">
        <v>21.3</v>
      </c>
      <c r="N225" s="135">
        <v>20.2</v>
      </c>
    </row>
    <row r="226" spans="1:14" s="136" customFormat="1" ht="54" x14ac:dyDescent="0.35">
      <c r="A226" s="131"/>
      <c r="B226" s="550" t="s">
        <v>350</v>
      </c>
      <c r="C226" s="132" t="s">
        <v>408</v>
      </c>
      <c r="D226" s="133" t="s">
        <v>36</v>
      </c>
      <c r="E226" s="133" t="s">
        <v>69</v>
      </c>
      <c r="F226" s="97" t="s">
        <v>222</v>
      </c>
      <c r="G226" s="87" t="s">
        <v>87</v>
      </c>
      <c r="H226" s="87" t="s">
        <v>36</v>
      </c>
      <c r="I226" s="88" t="s">
        <v>349</v>
      </c>
      <c r="J226" s="89"/>
      <c r="K226" s="135">
        <f>K227</f>
        <v>401.3</v>
      </c>
      <c r="L226" s="135">
        <f t="shared" ref="L226" si="75">L227</f>
        <v>0</v>
      </c>
      <c r="M226" s="135">
        <f>M227</f>
        <v>401.3</v>
      </c>
      <c r="N226" s="135">
        <f>N227</f>
        <v>401.3</v>
      </c>
    </row>
    <row r="227" spans="1:14" s="136" customFormat="1" ht="54" x14ac:dyDescent="0.35">
      <c r="A227" s="131"/>
      <c r="B227" s="550" t="s">
        <v>53</v>
      </c>
      <c r="C227" s="132" t="s">
        <v>408</v>
      </c>
      <c r="D227" s="133" t="s">
        <v>36</v>
      </c>
      <c r="E227" s="133" t="s">
        <v>69</v>
      </c>
      <c r="F227" s="97" t="s">
        <v>222</v>
      </c>
      <c r="G227" s="87" t="s">
        <v>87</v>
      </c>
      <c r="H227" s="87" t="s">
        <v>36</v>
      </c>
      <c r="I227" s="165" t="s">
        <v>349</v>
      </c>
      <c r="J227" s="89" t="s">
        <v>54</v>
      </c>
      <c r="K227" s="135">
        <v>401.3</v>
      </c>
      <c r="L227" s="29">
        <f>M227-K227</f>
        <v>0</v>
      </c>
      <c r="M227" s="135">
        <v>401.3</v>
      </c>
      <c r="N227" s="135">
        <v>401.3</v>
      </c>
    </row>
    <row r="228" spans="1:14" s="136" customFormat="1" ht="36" x14ac:dyDescent="0.35">
      <c r="A228" s="131"/>
      <c r="B228" s="552" t="s">
        <v>347</v>
      </c>
      <c r="C228" s="167" t="s">
        <v>408</v>
      </c>
      <c r="D228" s="168" t="s">
        <v>36</v>
      </c>
      <c r="E228" s="168" t="s">
        <v>69</v>
      </c>
      <c r="F228" s="97" t="s">
        <v>222</v>
      </c>
      <c r="G228" s="98" t="s">
        <v>87</v>
      </c>
      <c r="H228" s="98" t="s">
        <v>38</v>
      </c>
      <c r="I228" s="99" t="s">
        <v>43</v>
      </c>
      <c r="J228" s="100"/>
      <c r="K228" s="135">
        <f t="shared" ref="K228:N229" si="76">K229</f>
        <v>811.2</v>
      </c>
      <c r="L228" s="135">
        <f t="shared" si="76"/>
        <v>0</v>
      </c>
      <c r="M228" s="135">
        <f t="shared" si="76"/>
        <v>811.2</v>
      </c>
      <c r="N228" s="135">
        <f t="shared" si="76"/>
        <v>811.2</v>
      </c>
    </row>
    <row r="229" spans="1:14" s="136" customFormat="1" ht="54" x14ac:dyDescent="0.35">
      <c r="A229" s="131"/>
      <c r="B229" s="553" t="s">
        <v>348</v>
      </c>
      <c r="C229" s="132" t="s">
        <v>408</v>
      </c>
      <c r="D229" s="133" t="s">
        <v>36</v>
      </c>
      <c r="E229" s="133" t="s">
        <v>69</v>
      </c>
      <c r="F229" s="141" t="s">
        <v>222</v>
      </c>
      <c r="G229" s="98" t="s">
        <v>87</v>
      </c>
      <c r="H229" s="98" t="s">
        <v>38</v>
      </c>
      <c r="I229" s="99" t="s">
        <v>103</v>
      </c>
      <c r="J229" s="101"/>
      <c r="K229" s="135">
        <f t="shared" si="76"/>
        <v>811.2</v>
      </c>
      <c r="L229" s="135">
        <f t="shared" si="76"/>
        <v>0</v>
      </c>
      <c r="M229" s="135">
        <f t="shared" si="76"/>
        <v>811.2</v>
      </c>
      <c r="N229" s="135">
        <f t="shared" si="76"/>
        <v>811.2</v>
      </c>
    </row>
    <row r="230" spans="1:14" s="136" customFormat="1" ht="54" x14ac:dyDescent="0.35">
      <c r="A230" s="131"/>
      <c r="B230" s="554" t="s">
        <v>53</v>
      </c>
      <c r="C230" s="132" t="s">
        <v>408</v>
      </c>
      <c r="D230" s="133" t="s">
        <v>36</v>
      </c>
      <c r="E230" s="133" t="s">
        <v>69</v>
      </c>
      <c r="F230" s="141" t="s">
        <v>222</v>
      </c>
      <c r="G230" s="103" t="s">
        <v>87</v>
      </c>
      <c r="H230" s="103" t="s">
        <v>38</v>
      </c>
      <c r="I230" s="174" t="s">
        <v>103</v>
      </c>
      <c r="J230" s="175" t="s">
        <v>54</v>
      </c>
      <c r="K230" s="135">
        <v>811.2</v>
      </c>
      <c r="L230" s="29">
        <f>M230-K230</f>
        <v>0</v>
      </c>
      <c r="M230" s="135">
        <v>811.2</v>
      </c>
      <c r="N230" s="135">
        <v>811.2</v>
      </c>
    </row>
    <row r="231" spans="1:14" s="136" customFormat="1" ht="36" x14ac:dyDescent="0.35">
      <c r="A231" s="131"/>
      <c r="B231" s="555" t="s">
        <v>370</v>
      </c>
      <c r="C231" s="132" t="s">
        <v>408</v>
      </c>
      <c r="D231" s="133" t="s">
        <v>36</v>
      </c>
      <c r="E231" s="133" t="s">
        <v>69</v>
      </c>
      <c r="F231" s="141" t="s">
        <v>222</v>
      </c>
      <c r="G231" s="98" t="s">
        <v>87</v>
      </c>
      <c r="H231" s="98" t="s">
        <v>61</v>
      </c>
      <c r="I231" s="99" t="s">
        <v>43</v>
      </c>
      <c r="J231" s="101"/>
      <c r="K231" s="135">
        <f t="shared" ref="K231:N232" si="77">K232</f>
        <v>10.6</v>
      </c>
      <c r="L231" s="135">
        <f t="shared" si="77"/>
        <v>0</v>
      </c>
      <c r="M231" s="135">
        <f t="shared" si="77"/>
        <v>10.6</v>
      </c>
      <c r="N231" s="135">
        <f t="shared" si="77"/>
        <v>10.6</v>
      </c>
    </row>
    <row r="232" spans="1:14" s="136" customFormat="1" ht="36" x14ac:dyDescent="0.35">
      <c r="A232" s="131"/>
      <c r="B232" s="555" t="s">
        <v>333</v>
      </c>
      <c r="C232" s="132" t="s">
        <v>408</v>
      </c>
      <c r="D232" s="133" t="s">
        <v>36</v>
      </c>
      <c r="E232" s="133" t="s">
        <v>69</v>
      </c>
      <c r="F232" s="102" t="s">
        <v>222</v>
      </c>
      <c r="G232" s="103" t="s">
        <v>87</v>
      </c>
      <c r="H232" s="103" t="s">
        <v>61</v>
      </c>
      <c r="I232" s="174" t="s">
        <v>332</v>
      </c>
      <c r="J232" s="101"/>
      <c r="K232" s="135">
        <f t="shared" si="77"/>
        <v>10.6</v>
      </c>
      <c r="L232" s="135">
        <f t="shared" si="77"/>
        <v>0</v>
      </c>
      <c r="M232" s="135">
        <f t="shared" si="77"/>
        <v>10.6</v>
      </c>
      <c r="N232" s="135">
        <f t="shared" si="77"/>
        <v>10.6</v>
      </c>
    </row>
    <row r="233" spans="1:14" s="136" customFormat="1" ht="18" x14ac:dyDescent="0.35">
      <c r="A233" s="131"/>
      <c r="B233" s="540" t="s">
        <v>55</v>
      </c>
      <c r="C233" s="177" t="s">
        <v>408</v>
      </c>
      <c r="D233" s="133" t="s">
        <v>36</v>
      </c>
      <c r="E233" s="133" t="s">
        <v>69</v>
      </c>
      <c r="F233" s="97" t="s">
        <v>222</v>
      </c>
      <c r="G233" s="98" t="s">
        <v>87</v>
      </c>
      <c r="H233" s="98" t="s">
        <v>61</v>
      </c>
      <c r="I233" s="99" t="s">
        <v>332</v>
      </c>
      <c r="J233" s="101" t="s">
        <v>56</v>
      </c>
      <c r="K233" s="135">
        <v>10.6</v>
      </c>
      <c r="L233" s="29">
        <f>M233-K233</f>
        <v>0</v>
      </c>
      <c r="M233" s="135">
        <v>10.6</v>
      </c>
      <c r="N233" s="135">
        <v>10.6</v>
      </c>
    </row>
    <row r="234" spans="1:14" s="136" customFormat="1" ht="36" x14ac:dyDescent="0.35">
      <c r="A234" s="131"/>
      <c r="B234" s="526" t="s">
        <v>335</v>
      </c>
      <c r="C234" s="485" t="s">
        <v>408</v>
      </c>
      <c r="D234" s="476" t="s">
        <v>36</v>
      </c>
      <c r="E234" s="476" t="s">
        <v>69</v>
      </c>
      <c r="F234" s="383" t="s">
        <v>77</v>
      </c>
      <c r="G234" s="384" t="s">
        <v>44</v>
      </c>
      <c r="H234" s="384" t="s">
        <v>42</v>
      </c>
      <c r="I234" s="385" t="s">
        <v>43</v>
      </c>
      <c r="J234" s="386"/>
      <c r="K234" s="135">
        <f t="shared" ref="K234:N236" si="78">K235</f>
        <v>38.070619999999998</v>
      </c>
      <c r="L234" s="135">
        <f t="shared" si="78"/>
        <v>21.75468</v>
      </c>
      <c r="M234" s="135">
        <f t="shared" si="78"/>
        <v>59.825299999999999</v>
      </c>
      <c r="N234" s="135">
        <f t="shared" si="78"/>
        <v>57.105899999999998</v>
      </c>
    </row>
    <row r="235" spans="1:14" s="136" customFormat="1" ht="90" x14ac:dyDescent="0.35">
      <c r="A235" s="131"/>
      <c r="B235" s="526" t="s">
        <v>296</v>
      </c>
      <c r="C235" s="485" t="s">
        <v>408</v>
      </c>
      <c r="D235" s="476" t="s">
        <v>36</v>
      </c>
      <c r="E235" s="476" t="s">
        <v>69</v>
      </c>
      <c r="F235" s="383" t="s">
        <v>77</v>
      </c>
      <c r="G235" s="384" t="s">
        <v>44</v>
      </c>
      <c r="H235" s="384" t="s">
        <v>38</v>
      </c>
      <c r="I235" s="385" t="s">
        <v>43</v>
      </c>
      <c r="J235" s="386"/>
      <c r="K235" s="135">
        <f t="shared" si="78"/>
        <v>38.070619999999998</v>
      </c>
      <c r="L235" s="135">
        <f t="shared" si="78"/>
        <v>21.75468</v>
      </c>
      <c r="M235" s="135">
        <f t="shared" si="78"/>
        <v>59.825299999999999</v>
      </c>
      <c r="N235" s="135">
        <f t="shared" si="78"/>
        <v>57.105899999999998</v>
      </c>
    </row>
    <row r="236" spans="1:14" s="136" customFormat="1" ht="108" x14ac:dyDescent="0.35">
      <c r="A236" s="131"/>
      <c r="B236" s="523" t="s">
        <v>690</v>
      </c>
      <c r="C236" s="475" t="s">
        <v>408</v>
      </c>
      <c r="D236" s="476" t="s">
        <v>36</v>
      </c>
      <c r="E236" s="476" t="s">
        <v>69</v>
      </c>
      <c r="F236" s="340" t="s">
        <v>77</v>
      </c>
      <c r="G236" s="341" t="s">
        <v>44</v>
      </c>
      <c r="H236" s="341" t="s">
        <v>38</v>
      </c>
      <c r="I236" s="342" t="s">
        <v>601</v>
      </c>
      <c r="J236" s="343"/>
      <c r="K236" s="135">
        <f t="shared" si="78"/>
        <v>38.070619999999998</v>
      </c>
      <c r="L236" s="135">
        <f t="shared" si="78"/>
        <v>21.75468</v>
      </c>
      <c r="M236" s="135">
        <f t="shared" si="78"/>
        <v>59.825299999999999</v>
      </c>
      <c r="N236" s="135">
        <f t="shared" si="78"/>
        <v>57.105899999999998</v>
      </c>
    </row>
    <row r="237" spans="1:14" s="136" customFormat="1" ht="54" x14ac:dyDescent="0.35">
      <c r="A237" s="131"/>
      <c r="B237" s="526" t="s">
        <v>53</v>
      </c>
      <c r="C237" s="475" t="s">
        <v>408</v>
      </c>
      <c r="D237" s="476" t="s">
        <v>36</v>
      </c>
      <c r="E237" s="476" t="s">
        <v>69</v>
      </c>
      <c r="F237" s="340" t="s">
        <v>77</v>
      </c>
      <c r="G237" s="341" t="s">
        <v>44</v>
      </c>
      <c r="H237" s="341" t="s">
        <v>38</v>
      </c>
      <c r="I237" s="342" t="s">
        <v>601</v>
      </c>
      <c r="J237" s="486" t="s">
        <v>54</v>
      </c>
      <c r="K237" s="135">
        <v>38.070619999999998</v>
      </c>
      <c r="L237" s="29">
        <f>M237-K237</f>
        <v>21.75468</v>
      </c>
      <c r="M237" s="135">
        <f>38.07062+21.75468</f>
        <v>59.825299999999999</v>
      </c>
      <c r="N237" s="135">
        <f>35.35129+21.75461</f>
        <v>57.105899999999998</v>
      </c>
    </row>
    <row r="238" spans="1:14" s="136" customFormat="1" ht="54" x14ac:dyDescent="0.35">
      <c r="A238" s="131"/>
      <c r="B238" s="556" t="s">
        <v>39</v>
      </c>
      <c r="C238" s="132" t="s">
        <v>408</v>
      </c>
      <c r="D238" s="133" t="s">
        <v>36</v>
      </c>
      <c r="E238" s="133" t="s">
        <v>69</v>
      </c>
      <c r="F238" s="141" t="s">
        <v>40</v>
      </c>
      <c r="G238" s="87" t="s">
        <v>41</v>
      </c>
      <c r="H238" s="87" t="s">
        <v>42</v>
      </c>
      <c r="I238" s="88" t="s">
        <v>43</v>
      </c>
      <c r="J238" s="89"/>
      <c r="K238" s="135">
        <f t="shared" ref="K238:N240" si="79">K239</f>
        <v>6658.2000000000007</v>
      </c>
      <c r="L238" s="135">
        <f t="shared" si="79"/>
        <v>0</v>
      </c>
      <c r="M238" s="135">
        <f t="shared" si="79"/>
        <v>6658.2000000000007</v>
      </c>
      <c r="N238" s="135">
        <f t="shared" si="79"/>
        <v>6664.0000000000009</v>
      </c>
    </row>
    <row r="239" spans="1:14" s="136" customFormat="1" ht="36" x14ac:dyDescent="0.35">
      <c r="A239" s="131"/>
      <c r="B239" s="550" t="s">
        <v>335</v>
      </c>
      <c r="C239" s="132" t="s">
        <v>408</v>
      </c>
      <c r="D239" s="133" t="s">
        <v>36</v>
      </c>
      <c r="E239" s="133" t="s">
        <v>69</v>
      </c>
      <c r="F239" s="97" t="s">
        <v>40</v>
      </c>
      <c r="G239" s="87" t="s">
        <v>44</v>
      </c>
      <c r="H239" s="87" t="s">
        <v>42</v>
      </c>
      <c r="I239" s="88" t="s">
        <v>43</v>
      </c>
      <c r="J239" s="89"/>
      <c r="K239" s="135">
        <f t="shared" si="79"/>
        <v>6658.2000000000007</v>
      </c>
      <c r="L239" s="135">
        <f t="shared" si="79"/>
        <v>0</v>
      </c>
      <c r="M239" s="135">
        <f t="shared" si="79"/>
        <v>6658.2000000000007</v>
      </c>
      <c r="N239" s="135">
        <f t="shared" si="79"/>
        <v>6664.0000000000009</v>
      </c>
    </row>
    <row r="240" spans="1:14" s="136" customFormat="1" ht="72" x14ac:dyDescent="0.35">
      <c r="A240" s="131"/>
      <c r="B240" s="540" t="s">
        <v>295</v>
      </c>
      <c r="C240" s="132" t="s">
        <v>408</v>
      </c>
      <c r="D240" s="133" t="s">
        <v>36</v>
      </c>
      <c r="E240" s="133" t="s">
        <v>69</v>
      </c>
      <c r="F240" s="97" t="s">
        <v>40</v>
      </c>
      <c r="G240" s="87" t="s">
        <v>44</v>
      </c>
      <c r="H240" s="87" t="s">
        <v>79</v>
      </c>
      <c r="I240" s="88" t="s">
        <v>43</v>
      </c>
      <c r="J240" s="89"/>
      <c r="K240" s="135">
        <f t="shared" si="79"/>
        <v>6658.2000000000007</v>
      </c>
      <c r="L240" s="135">
        <f t="shared" si="79"/>
        <v>0</v>
      </c>
      <c r="M240" s="135">
        <f t="shared" si="79"/>
        <v>6658.2000000000007</v>
      </c>
      <c r="N240" s="135">
        <f t="shared" si="79"/>
        <v>6664.0000000000009</v>
      </c>
    </row>
    <row r="241" spans="1:14" s="136" customFormat="1" ht="36" x14ac:dyDescent="0.35">
      <c r="A241" s="131"/>
      <c r="B241" s="573" t="s">
        <v>454</v>
      </c>
      <c r="C241" s="132" t="s">
        <v>408</v>
      </c>
      <c r="D241" s="133" t="s">
        <v>36</v>
      </c>
      <c r="E241" s="133" t="s">
        <v>69</v>
      </c>
      <c r="F241" s="97" t="s">
        <v>40</v>
      </c>
      <c r="G241" s="87" t="s">
        <v>44</v>
      </c>
      <c r="H241" s="87" t="s">
        <v>79</v>
      </c>
      <c r="I241" s="88" t="s">
        <v>89</v>
      </c>
      <c r="J241" s="89"/>
      <c r="K241" s="135">
        <f>K242+K243</f>
        <v>6658.2000000000007</v>
      </c>
      <c r="L241" s="135">
        <f t="shared" ref="L241" si="80">L242+L243</f>
        <v>0</v>
      </c>
      <c r="M241" s="135">
        <f>M242+M243</f>
        <v>6658.2000000000007</v>
      </c>
      <c r="N241" s="135">
        <f>N242+N243</f>
        <v>6664.0000000000009</v>
      </c>
    </row>
    <row r="242" spans="1:14" s="136" customFormat="1" ht="108" x14ac:dyDescent="0.35">
      <c r="A242" s="131"/>
      <c r="B242" s="497" t="s">
        <v>48</v>
      </c>
      <c r="C242" s="132" t="s">
        <v>408</v>
      </c>
      <c r="D242" s="133" t="s">
        <v>36</v>
      </c>
      <c r="E242" s="133" t="s">
        <v>69</v>
      </c>
      <c r="F242" s="97" t="s">
        <v>40</v>
      </c>
      <c r="G242" s="87" t="s">
        <v>44</v>
      </c>
      <c r="H242" s="87" t="s">
        <v>79</v>
      </c>
      <c r="I242" s="88" t="s">
        <v>89</v>
      </c>
      <c r="J242" s="89" t="s">
        <v>49</v>
      </c>
      <c r="K242" s="135">
        <f>6135.3+14.6</f>
        <v>6149.9000000000005</v>
      </c>
      <c r="L242" s="29">
        <f>M242-K242</f>
        <v>0</v>
      </c>
      <c r="M242" s="135">
        <f>6135.3+14.6</f>
        <v>6149.9000000000005</v>
      </c>
      <c r="N242" s="135">
        <f>6135.3+14.6</f>
        <v>6149.9000000000005</v>
      </c>
    </row>
    <row r="243" spans="1:14" s="136" customFormat="1" ht="54" x14ac:dyDescent="0.35">
      <c r="A243" s="131"/>
      <c r="B243" s="550" t="s">
        <v>53</v>
      </c>
      <c r="C243" s="132" t="s">
        <v>408</v>
      </c>
      <c r="D243" s="133" t="s">
        <v>36</v>
      </c>
      <c r="E243" s="133" t="s">
        <v>69</v>
      </c>
      <c r="F243" s="97" t="s">
        <v>40</v>
      </c>
      <c r="G243" s="87" t="s">
        <v>44</v>
      </c>
      <c r="H243" s="87" t="s">
        <v>79</v>
      </c>
      <c r="I243" s="88" t="s">
        <v>89</v>
      </c>
      <c r="J243" s="89" t="s">
        <v>54</v>
      </c>
      <c r="K243" s="197">
        <v>508.3</v>
      </c>
      <c r="L243" s="29">
        <f>M243-K243</f>
        <v>0</v>
      </c>
      <c r="M243" s="197">
        <v>508.3</v>
      </c>
      <c r="N243" s="197">
        <v>514.1</v>
      </c>
    </row>
    <row r="244" spans="1:14" s="136" customFormat="1" ht="18" x14ac:dyDescent="0.35">
      <c r="A244" s="131"/>
      <c r="B244" s="561" t="s">
        <v>176</v>
      </c>
      <c r="C244" s="132" t="s">
        <v>408</v>
      </c>
      <c r="D244" s="133" t="s">
        <v>220</v>
      </c>
      <c r="E244" s="133"/>
      <c r="F244" s="86"/>
      <c r="G244" s="87"/>
      <c r="H244" s="87"/>
      <c r="I244" s="108"/>
      <c r="J244" s="89"/>
      <c r="K244" s="29">
        <f>K245+K251</f>
        <v>2859.3</v>
      </c>
      <c r="L244" s="29">
        <f t="shared" ref="L244" si="81">L245+L251</f>
        <v>0</v>
      </c>
      <c r="M244" s="29">
        <f>M245+M251</f>
        <v>2859.3</v>
      </c>
      <c r="N244" s="29">
        <f>N245+N251</f>
        <v>0</v>
      </c>
    </row>
    <row r="245" spans="1:14" s="136" customFormat="1" ht="18" x14ac:dyDescent="0.35">
      <c r="A245" s="131"/>
      <c r="B245" s="561" t="s">
        <v>178</v>
      </c>
      <c r="C245" s="132" t="s">
        <v>408</v>
      </c>
      <c r="D245" s="133" t="s">
        <v>220</v>
      </c>
      <c r="E245" s="133" t="s">
        <v>36</v>
      </c>
      <c r="F245" s="86"/>
      <c r="G245" s="87"/>
      <c r="H245" s="87"/>
      <c r="I245" s="88"/>
      <c r="J245" s="89"/>
      <c r="K245" s="268">
        <f t="shared" ref="K245:N247" si="82">K246</f>
        <v>859.1</v>
      </c>
      <c r="L245" s="268">
        <f t="shared" si="82"/>
        <v>0</v>
      </c>
      <c r="M245" s="268">
        <f t="shared" si="82"/>
        <v>859.1</v>
      </c>
      <c r="N245" s="135">
        <f t="shared" si="82"/>
        <v>0</v>
      </c>
    </row>
    <row r="246" spans="1:14" s="136" customFormat="1" ht="54" x14ac:dyDescent="0.35">
      <c r="A246" s="131"/>
      <c r="B246" s="561" t="s">
        <v>428</v>
      </c>
      <c r="C246" s="132" t="s">
        <v>408</v>
      </c>
      <c r="D246" s="133" t="s">
        <v>220</v>
      </c>
      <c r="E246" s="133" t="s">
        <v>36</v>
      </c>
      <c r="F246" s="86" t="s">
        <v>38</v>
      </c>
      <c r="G246" s="87" t="s">
        <v>41</v>
      </c>
      <c r="H246" s="87" t="s">
        <v>42</v>
      </c>
      <c r="I246" s="88" t="s">
        <v>43</v>
      </c>
      <c r="J246" s="89"/>
      <c r="K246" s="268">
        <f t="shared" si="82"/>
        <v>859.1</v>
      </c>
      <c r="L246" s="268">
        <f t="shared" si="82"/>
        <v>0</v>
      </c>
      <c r="M246" s="268">
        <f t="shared" si="82"/>
        <v>859.1</v>
      </c>
      <c r="N246" s="135">
        <f t="shared" si="82"/>
        <v>0</v>
      </c>
    </row>
    <row r="247" spans="1:14" s="136" customFormat="1" ht="36" x14ac:dyDescent="0.35">
      <c r="A247" s="131"/>
      <c r="B247" s="561" t="s">
        <v>203</v>
      </c>
      <c r="C247" s="132" t="s">
        <v>408</v>
      </c>
      <c r="D247" s="133" t="s">
        <v>220</v>
      </c>
      <c r="E247" s="133" t="s">
        <v>36</v>
      </c>
      <c r="F247" s="86" t="s">
        <v>38</v>
      </c>
      <c r="G247" s="87" t="s">
        <v>44</v>
      </c>
      <c r="H247" s="87" t="s">
        <v>42</v>
      </c>
      <c r="I247" s="88" t="s">
        <v>43</v>
      </c>
      <c r="J247" s="89"/>
      <c r="K247" s="268">
        <f t="shared" si="82"/>
        <v>859.1</v>
      </c>
      <c r="L247" s="268">
        <f t="shared" si="82"/>
        <v>0</v>
      </c>
      <c r="M247" s="268">
        <f t="shared" si="82"/>
        <v>859.1</v>
      </c>
      <c r="N247" s="135">
        <f t="shared" si="82"/>
        <v>0</v>
      </c>
    </row>
    <row r="248" spans="1:14" s="136" customFormat="1" ht="36" x14ac:dyDescent="0.35">
      <c r="A248" s="131"/>
      <c r="B248" s="561" t="s">
        <v>263</v>
      </c>
      <c r="C248" s="132" t="s">
        <v>408</v>
      </c>
      <c r="D248" s="133" t="s">
        <v>220</v>
      </c>
      <c r="E248" s="133" t="s">
        <v>36</v>
      </c>
      <c r="F248" s="86" t="s">
        <v>38</v>
      </c>
      <c r="G248" s="87" t="s">
        <v>44</v>
      </c>
      <c r="H248" s="87" t="s">
        <v>36</v>
      </c>
      <c r="I248" s="108" t="s">
        <v>43</v>
      </c>
      <c r="J248" s="89"/>
      <c r="K248" s="268">
        <f t="shared" ref="K248:N249" si="83">K249</f>
        <v>859.1</v>
      </c>
      <c r="L248" s="268">
        <f t="shared" si="83"/>
        <v>0</v>
      </c>
      <c r="M248" s="268">
        <f t="shared" si="83"/>
        <v>859.1</v>
      </c>
      <c r="N248" s="268">
        <f t="shared" si="83"/>
        <v>0</v>
      </c>
    </row>
    <row r="249" spans="1:14" s="136" customFormat="1" ht="36" x14ac:dyDescent="0.35">
      <c r="A249" s="131"/>
      <c r="B249" s="497" t="s">
        <v>205</v>
      </c>
      <c r="C249" s="132" t="s">
        <v>408</v>
      </c>
      <c r="D249" s="133" t="s">
        <v>220</v>
      </c>
      <c r="E249" s="133" t="s">
        <v>36</v>
      </c>
      <c r="F249" s="86" t="s">
        <v>38</v>
      </c>
      <c r="G249" s="87" t="s">
        <v>44</v>
      </c>
      <c r="H249" s="87" t="s">
        <v>36</v>
      </c>
      <c r="I249" s="108" t="s">
        <v>270</v>
      </c>
      <c r="J249" s="89"/>
      <c r="K249" s="436">
        <f t="shared" si="83"/>
        <v>859.1</v>
      </c>
      <c r="L249" s="436">
        <f t="shared" si="83"/>
        <v>0</v>
      </c>
      <c r="M249" s="436">
        <f t="shared" si="83"/>
        <v>859.1</v>
      </c>
      <c r="N249" s="268">
        <f t="shared" si="83"/>
        <v>0</v>
      </c>
    </row>
    <row r="250" spans="1:14" s="136" customFormat="1" ht="54" x14ac:dyDescent="0.35">
      <c r="A250" s="131"/>
      <c r="B250" s="561" t="s">
        <v>200</v>
      </c>
      <c r="C250" s="132" t="s">
        <v>408</v>
      </c>
      <c r="D250" s="133" t="s">
        <v>220</v>
      </c>
      <c r="E250" s="133" t="s">
        <v>36</v>
      </c>
      <c r="F250" s="86" t="s">
        <v>38</v>
      </c>
      <c r="G250" s="87" t="s">
        <v>44</v>
      </c>
      <c r="H250" s="87" t="s">
        <v>36</v>
      </c>
      <c r="I250" s="108" t="s">
        <v>270</v>
      </c>
      <c r="J250" s="134" t="s">
        <v>201</v>
      </c>
      <c r="K250" s="256">
        <v>859.1</v>
      </c>
      <c r="L250" s="29">
        <f>M250-K250</f>
        <v>0</v>
      </c>
      <c r="M250" s="256">
        <v>859.1</v>
      </c>
      <c r="N250" s="268">
        <v>0</v>
      </c>
    </row>
    <row r="251" spans="1:14" s="136" customFormat="1" ht="18" x14ac:dyDescent="0.35">
      <c r="A251" s="131"/>
      <c r="B251" s="561" t="s">
        <v>180</v>
      </c>
      <c r="C251" s="132" t="s">
        <v>408</v>
      </c>
      <c r="D251" s="133" t="s">
        <v>220</v>
      </c>
      <c r="E251" s="133" t="s">
        <v>38</v>
      </c>
      <c r="F251" s="86"/>
      <c r="G251" s="87"/>
      <c r="H251" s="87"/>
      <c r="I251" s="108"/>
      <c r="J251" s="89"/>
      <c r="K251" s="437">
        <f t="shared" ref="K251:N255" si="84">K252</f>
        <v>2000.2</v>
      </c>
      <c r="L251" s="437">
        <f t="shared" si="84"/>
        <v>0</v>
      </c>
      <c r="M251" s="437">
        <f t="shared" si="84"/>
        <v>2000.2</v>
      </c>
      <c r="N251" s="437">
        <f t="shared" si="84"/>
        <v>0</v>
      </c>
    </row>
    <row r="252" spans="1:14" s="136" customFormat="1" ht="54" x14ac:dyDescent="0.35">
      <c r="A252" s="131"/>
      <c r="B252" s="561" t="s">
        <v>202</v>
      </c>
      <c r="C252" s="132" t="s">
        <v>408</v>
      </c>
      <c r="D252" s="133" t="s">
        <v>220</v>
      </c>
      <c r="E252" s="133" t="s">
        <v>38</v>
      </c>
      <c r="F252" s="86" t="s">
        <v>38</v>
      </c>
      <c r="G252" s="87" t="s">
        <v>41</v>
      </c>
      <c r="H252" s="87" t="s">
        <v>42</v>
      </c>
      <c r="I252" s="88" t="s">
        <v>43</v>
      </c>
      <c r="J252" s="89"/>
      <c r="K252" s="268">
        <f t="shared" si="84"/>
        <v>2000.2</v>
      </c>
      <c r="L252" s="268">
        <f t="shared" si="84"/>
        <v>0</v>
      </c>
      <c r="M252" s="268">
        <f t="shared" si="84"/>
        <v>2000.2</v>
      </c>
      <c r="N252" s="268">
        <f t="shared" si="84"/>
        <v>0</v>
      </c>
    </row>
    <row r="253" spans="1:14" s="136" customFormat="1" ht="36" x14ac:dyDescent="0.35">
      <c r="A253" s="131"/>
      <c r="B253" s="561" t="s">
        <v>203</v>
      </c>
      <c r="C253" s="132" t="s">
        <v>408</v>
      </c>
      <c r="D253" s="133" t="s">
        <v>220</v>
      </c>
      <c r="E253" s="133" t="s">
        <v>38</v>
      </c>
      <c r="F253" s="86" t="s">
        <v>38</v>
      </c>
      <c r="G253" s="87" t="s">
        <v>44</v>
      </c>
      <c r="H253" s="87" t="s">
        <v>42</v>
      </c>
      <c r="I253" s="88" t="s">
        <v>43</v>
      </c>
      <c r="J253" s="89"/>
      <c r="K253" s="268">
        <f t="shared" si="84"/>
        <v>2000.2</v>
      </c>
      <c r="L253" s="268">
        <f t="shared" si="84"/>
        <v>0</v>
      </c>
      <c r="M253" s="268">
        <f t="shared" si="84"/>
        <v>2000.2</v>
      </c>
      <c r="N253" s="268">
        <f t="shared" si="84"/>
        <v>0</v>
      </c>
    </row>
    <row r="254" spans="1:14" s="136" customFormat="1" ht="18" x14ac:dyDescent="0.35">
      <c r="A254" s="131"/>
      <c r="B254" s="561" t="s">
        <v>268</v>
      </c>
      <c r="C254" s="132" t="s">
        <v>408</v>
      </c>
      <c r="D254" s="133" t="s">
        <v>220</v>
      </c>
      <c r="E254" s="133" t="s">
        <v>38</v>
      </c>
      <c r="F254" s="86" t="s">
        <v>38</v>
      </c>
      <c r="G254" s="87" t="s">
        <v>44</v>
      </c>
      <c r="H254" s="87" t="s">
        <v>38</v>
      </c>
      <c r="I254" s="88" t="s">
        <v>43</v>
      </c>
      <c r="J254" s="89"/>
      <c r="K254" s="268">
        <f>K255</f>
        <v>2000.2</v>
      </c>
      <c r="L254" s="268">
        <f t="shared" si="84"/>
        <v>0</v>
      </c>
      <c r="M254" s="268">
        <f>M255</f>
        <v>2000.2</v>
      </c>
      <c r="N254" s="268">
        <f>N255</f>
        <v>0</v>
      </c>
    </row>
    <row r="255" spans="1:14" s="136" customFormat="1" ht="36" x14ac:dyDescent="0.35">
      <c r="A255" s="131"/>
      <c r="B255" s="561" t="s">
        <v>205</v>
      </c>
      <c r="C255" s="132" t="s">
        <v>408</v>
      </c>
      <c r="D255" s="133" t="s">
        <v>220</v>
      </c>
      <c r="E255" s="133" t="s">
        <v>38</v>
      </c>
      <c r="F255" s="86" t="s">
        <v>38</v>
      </c>
      <c r="G255" s="87" t="s">
        <v>44</v>
      </c>
      <c r="H255" s="87" t="s">
        <v>38</v>
      </c>
      <c r="I255" s="88" t="s">
        <v>270</v>
      </c>
      <c r="J255" s="89"/>
      <c r="K255" s="268">
        <f t="shared" si="84"/>
        <v>2000.2</v>
      </c>
      <c r="L255" s="268">
        <f t="shared" si="84"/>
        <v>0</v>
      </c>
      <c r="M255" s="268">
        <f t="shared" si="84"/>
        <v>2000.2</v>
      </c>
      <c r="N255" s="268">
        <f t="shared" si="84"/>
        <v>0</v>
      </c>
    </row>
    <row r="256" spans="1:14" s="136" customFormat="1" ht="54" x14ac:dyDescent="0.35">
      <c r="A256" s="131"/>
      <c r="B256" s="561" t="s">
        <v>200</v>
      </c>
      <c r="C256" s="132" t="s">
        <v>408</v>
      </c>
      <c r="D256" s="133" t="s">
        <v>220</v>
      </c>
      <c r="E256" s="133" t="s">
        <v>38</v>
      </c>
      <c r="F256" s="86" t="s">
        <v>38</v>
      </c>
      <c r="G256" s="87" t="s">
        <v>44</v>
      </c>
      <c r="H256" s="87" t="s">
        <v>38</v>
      </c>
      <c r="I256" s="88" t="s">
        <v>270</v>
      </c>
      <c r="J256" s="89" t="s">
        <v>201</v>
      </c>
      <c r="K256" s="268">
        <v>2000.2</v>
      </c>
      <c r="L256" s="29">
        <f>M256-K256</f>
        <v>0</v>
      </c>
      <c r="M256" s="268">
        <v>2000.2</v>
      </c>
      <c r="N256" s="135">
        <v>0</v>
      </c>
    </row>
    <row r="257" spans="1:19" s="144" customFormat="1" ht="18" x14ac:dyDescent="0.35">
      <c r="A257" s="142"/>
      <c r="B257" s="562" t="s">
        <v>117</v>
      </c>
      <c r="C257" s="143" t="s">
        <v>408</v>
      </c>
      <c r="D257" s="107" t="s">
        <v>102</v>
      </c>
      <c r="E257" s="107"/>
      <c r="F257" s="104"/>
      <c r="G257" s="105"/>
      <c r="H257" s="105"/>
      <c r="I257" s="106"/>
      <c r="J257" s="107"/>
      <c r="K257" s="135">
        <f>K258</f>
        <v>39369.829380000003</v>
      </c>
      <c r="L257" s="135">
        <f t="shared" ref="L257" si="85">L258</f>
        <v>22497.045320000005</v>
      </c>
      <c r="M257" s="135">
        <f>M258</f>
        <v>61866.874700000008</v>
      </c>
      <c r="N257" s="135">
        <f>N258</f>
        <v>59054.794099999999</v>
      </c>
    </row>
    <row r="258" spans="1:19" s="144" customFormat="1" ht="18" x14ac:dyDescent="0.35">
      <c r="A258" s="142"/>
      <c r="B258" s="550" t="s">
        <v>190</v>
      </c>
      <c r="C258" s="143" t="s">
        <v>408</v>
      </c>
      <c r="D258" s="107" t="s">
        <v>102</v>
      </c>
      <c r="E258" s="107" t="s">
        <v>50</v>
      </c>
      <c r="F258" s="104"/>
      <c r="G258" s="105"/>
      <c r="H258" s="105"/>
      <c r="I258" s="106"/>
      <c r="J258" s="107"/>
      <c r="K258" s="135">
        <f t="shared" ref="K258:N260" si="86">K259</f>
        <v>39369.829380000003</v>
      </c>
      <c r="L258" s="135">
        <f t="shared" si="86"/>
        <v>22497.045320000005</v>
      </c>
      <c r="M258" s="135">
        <f t="shared" si="86"/>
        <v>61866.874700000008</v>
      </c>
      <c r="N258" s="135">
        <f t="shared" si="86"/>
        <v>59054.794099999999</v>
      </c>
    </row>
    <row r="259" spans="1:19" s="144" customFormat="1" ht="54" x14ac:dyDescent="0.35">
      <c r="A259" s="142"/>
      <c r="B259" s="558" t="s">
        <v>226</v>
      </c>
      <c r="C259" s="143" t="s">
        <v>408</v>
      </c>
      <c r="D259" s="107" t="s">
        <v>102</v>
      </c>
      <c r="E259" s="107" t="s">
        <v>50</v>
      </c>
      <c r="F259" s="104" t="s">
        <v>77</v>
      </c>
      <c r="G259" s="105" t="s">
        <v>41</v>
      </c>
      <c r="H259" s="105" t="s">
        <v>42</v>
      </c>
      <c r="I259" s="106" t="s">
        <v>43</v>
      </c>
      <c r="J259" s="107"/>
      <c r="K259" s="135">
        <f t="shared" si="86"/>
        <v>39369.829380000003</v>
      </c>
      <c r="L259" s="135">
        <f t="shared" si="86"/>
        <v>22497.045320000005</v>
      </c>
      <c r="M259" s="135">
        <f t="shared" si="86"/>
        <v>61866.874700000008</v>
      </c>
      <c r="N259" s="135">
        <f t="shared" si="86"/>
        <v>59054.794099999999</v>
      </c>
    </row>
    <row r="260" spans="1:19" s="144" customFormat="1" ht="36" x14ac:dyDescent="0.35">
      <c r="A260" s="142"/>
      <c r="B260" s="550" t="s">
        <v>335</v>
      </c>
      <c r="C260" s="143" t="s">
        <v>408</v>
      </c>
      <c r="D260" s="107" t="s">
        <v>102</v>
      </c>
      <c r="E260" s="107" t="s">
        <v>50</v>
      </c>
      <c r="F260" s="104" t="s">
        <v>77</v>
      </c>
      <c r="G260" s="105" t="s">
        <v>44</v>
      </c>
      <c r="H260" s="105" t="s">
        <v>42</v>
      </c>
      <c r="I260" s="106" t="s">
        <v>43</v>
      </c>
      <c r="J260" s="107"/>
      <c r="K260" s="135">
        <f t="shared" si="86"/>
        <v>39369.829380000003</v>
      </c>
      <c r="L260" s="135">
        <f t="shared" si="86"/>
        <v>22497.045320000005</v>
      </c>
      <c r="M260" s="135">
        <f t="shared" si="86"/>
        <v>61866.874700000008</v>
      </c>
      <c r="N260" s="135">
        <f t="shared" si="86"/>
        <v>59054.794099999999</v>
      </c>
    </row>
    <row r="261" spans="1:19" s="145" customFormat="1" ht="90" x14ac:dyDescent="0.35">
      <c r="A261" s="142"/>
      <c r="B261" s="550" t="s">
        <v>296</v>
      </c>
      <c r="C261" s="143" t="s">
        <v>408</v>
      </c>
      <c r="D261" s="107" t="s">
        <v>102</v>
      </c>
      <c r="E261" s="107" t="s">
        <v>50</v>
      </c>
      <c r="F261" s="104" t="s">
        <v>77</v>
      </c>
      <c r="G261" s="105" t="s">
        <v>44</v>
      </c>
      <c r="H261" s="105" t="s">
        <v>38</v>
      </c>
      <c r="I261" s="106" t="s">
        <v>43</v>
      </c>
      <c r="J261" s="107"/>
      <c r="K261" s="135">
        <f>K262+K264</f>
        <v>39369.829380000003</v>
      </c>
      <c r="L261" s="135">
        <f t="shared" ref="L261" si="87">L262+L264</f>
        <v>22497.045320000005</v>
      </c>
      <c r="M261" s="135">
        <f>M262+M264</f>
        <v>61866.874700000008</v>
      </c>
      <c r="N261" s="135">
        <f>N262+N264</f>
        <v>59054.794099999999</v>
      </c>
    </row>
    <row r="262" spans="1:19" s="136" customFormat="1" ht="108" x14ac:dyDescent="0.35">
      <c r="A262" s="131"/>
      <c r="B262" s="540" t="s">
        <v>690</v>
      </c>
      <c r="C262" s="132" t="s">
        <v>408</v>
      </c>
      <c r="D262" s="133" t="s">
        <v>102</v>
      </c>
      <c r="E262" s="133" t="s">
        <v>50</v>
      </c>
      <c r="F262" s="86" t="s">
        <v>77</v>
      </c>
      <c r="G262" s="87" t="s">
        <v>44</v>
      </c>
      <c r="H262" s="87" t="s">
        <v>38</v>
      </c>
      <c r="I262" s="108" t="s">
        <v>601</v>
      </c>
      <c r="J262" s="89"/>
      <c r="K262" s="135">
        <f>K263</f>
        <v>30933.429380000001</v>
      </c>
      <c r="L262" s="135">
        <f t="shared" ref="L262" si="88">L263</f>
        <v>22497.045320000005</v>
      </c>
      <c r="M262" s="135">
        <f>M263</f>
        <v>53430.474700000006</v>
      </c>
      <c r="N262" s="135">
        <f>N263</f>
        <v>50618.394099999998</v>
      </c>
    </row>
    <row r="263" spans="1:19" s="136" customFormat="1" ht="54" x14ac:dyDescent="0.35">
      <c r="A263" s="131"/>
      <c r="B263" s="540" t="s">
        <v>200</v>
      </c>
      <c r="C263" s="132" t="s">
        <v>408</v>
      </c>
      <c r="D263" s="133" t="s">
        <v>102</v>
      </c>
      <c r="E263" s="133" t="s">
        <v>50</v>
      </c>
      <c r="F263" s="86" t="s">
        <v>77</v>
      </c>
      <c r="G263" s="87" t="s">
        <v>44</v>
      </c>
      <c r="H263" s="87" t="s">
        <v>38</v>
      </c>
      <c r="I263" s="108" t="s">
        <v>601</v>
      </c>
      <c r="J263" s="89" t="s">
        <v>201</v>
      </c>
      <c r="K263" s="197">
        <v>30933.429380000001</v>
      </c>
      <c r="L263" s="29">
        <f>M263-K263</f>
        <v>22497.045320000005</v>
      </c>
      <c r="M263" s="197">
        <f>30933.42938+22497.04532</f>
        <v>53430.474700000006</v>
      </c>
      <c r="N263" s="197">
        <f>28121.34871+22497.04539</f>
        <v>50618.394099999998</v>
      </c>
    </row>
    <row r="264" spans="1:19" s="136" customFormat="1" ht="108" x14ac:dyDescent="0.35">
      <c r="A264" s="131"/>
      <c r="B264" s="540" t="s">
        <v>690</v>
      </c>
      <c r="C264" s="132" t="s">
        <v>408</v>
      </c>
      <c r="D264" s="133" t="s">
        <v>102</v>
      </c>
      <c r="E264" s="133" t="s">
        <v>50</v>
      </c>
      <c r="F264" s="86" t="s">
        <v>77</v>
      </c>
      <c r="G264" s="87" t="s">
        <v>44</v>
      </c>
      <c r="H264" s="87" t="s">
        <v>38</v>
      </c>
      <c r="I264" s="108" t="s">
        <v>513</v>
      </c>
      <c r="J264" s="134"/>
      <c r="K264" s="256">
        <f>K265</f>
        <v>8436.4</v>
      </c>
      <c r="L264" s="256">
        <f t="shared" ref="L264" si="89">L265</f>
        <v>0</v>
      </c>
      <c r="M264" s="256">
        <f>M265</f>
        <v>8436.4</v>
      </c>
      <c r="N264" s="256">
        <f>N265</f>
        <v>8436.4</v>
      </c>
    </row>
    <row r="265" spans="1:19" s="136" customFormat="1" ht="54" x14ac:dyDescent="0.35">
      <c r="A265" s="604"/>
      <c r="B265" s="503" t="s">
        <v>200</v>
      </c>
      <c r="C265" s="177" t="s">
        <v>408</v>
      </c>
      <c r="D265" s="271" t="s">
        <v>102</v>
      </c>
      <c r="E265" s="271" t="s">
        <v>50</v>
      </c>
      <c r="F265" s="86" t="s">
        <v>77</v>
      </c>
      <c r="G265" s="87" t="s">
        <v>44</v>
      </c>
      <c r="H265" s="87" t="s">
        <v>38</v>
      </c>
      <c r="I265" s="108" t="s">
        <v>513</v>
      </c>
      <c r="J265" s="608" t="s">
        <v>201</v>
      </c>
      <c r="K265" s="256">
        <v>8436.4</v>
      </c>
      <c r="L265" s="29">
        <f>M265-K265</f>
        <v>0</v>
      </c>
      <c r="M265" s="256">
        <v>8436.4</v>
      </c>
      <c r="N265" s="256">
        <v>8436.4</v>
      </c>
    </row>
    <row r="266" spans="1:19" s="122" customFormat="1" ht="18" x14ac:dyDescent="0.35">
      <c r="A266" s="16"/>
      <c r="B266" s="497"/>
      <c r="C266" s="28"/>
      <c r="D266" s="15"/>
      <c r="E266" s="15"/>
      <c r="F266" s="676"/>
      <c r="G266" s="677"/>
      <c r="H266" s="677"/>
      <c r="I266" s="678"/>
      <c r="J266" s="15"/>
      <c r="K266" s="29"/>
      <c r="L266" s="29"/>
      <c r="M266" s="29"/>
      <c r="N266" s="29"/>
    </row>
    <row r="267" spans="1:19" s="120" customFormat="1" ht="52.2" x14ac:dyDescent="0.3">
      <c r="A267" s="115">
        <v>5</v>
      </c>
      <c r="B267" s="543" t="s">
        <v>7</v>
      </c>
      <c r="C267" s="23" t="s">
        <v>417</v>
      </c>
      <c r="D267" s="24"/>
      <c r="E267" s="24"/>
      <c r="F267" s="25"/>
      <c r="G267" s="26"/>
      <c r="H267" s="26"/>
      <c r="I267" s="27"/>
      <c r="J267" s="24"/>
      <c r="K267" s="37">
        <f>K281+K376+K268+K384</f>
        <v>1406917.4999999998</v>
      </c>
      <c r="L267" s="37">
        <f>L281+L376+L268+L384</f>
        <v>0</v>
      </c>
      <c r="M267" s="37">
        <f>M281+M376+M268+M384</f>
        <v>1406917.4999999998</v>
      </c>
      <c r="N267" s="37">
        <f>N281+N376+N268+N384</f>
        <v>1439497.2</v>
      </c>
      <c r="O267" s="146"/>
      <c r="Q267" s="146"/>
      <c r="S267" s="146"/>
    </row>
    <row r="268" spans="1:19" s="120" customFormat="1" ht="18" x14ac:dyDescent="0.35">
      <c r="A268" s="115"/>
      <c r="B268" s="499" t="s">
        <v>35</v>
      </c>
      <c r="C268" s="240" t="s">
        <v>417</v>
      </c>
      <c r="D268" s="238" t="s">
        <v>36</v>
      </c>
      <c r="E268" s="85"/>
      <c r="F268" s="241"/>
      <c r="G268" s="91"/>
      <c r="H268" s="91"/>
      <c r="I268" s="92"/>
      <c r="J268" s="85"/>
      <c r="K268" s="211">
        <f t="shared" ref="K268:M270" si="90">K269</f>
        <v>654.29999999999995</v>
      </c>
      <c r="L268" s="211">
        <f t="shared" si="90"/>
        <v>0</v>
      </c>
      <c r="M268" s="211">
        <f t="shared" si="90"/>
        <v>654.29999999999995</v>
      </c>
      <c r="N268" s="211">
        <f>N269</f>
        <v>653.70000000000005</v>
      </c>
      <c r="O268" s="146"/>
    </row>
    <row r="269" spans="1:19" s="120" customFormat="1" ht="18" x14ac:dyDescent="0.35">
      <c r="A269" s="115"/>
      <c r="B269" s="499" t="s">
        <v>68</v>
      </c>
      <c r="C269" s="242" t="s">
        <v>417</v>
      </c>
      <c r="D269" s="238" t="s">
        <v>36</v>
      </c>
      <c r="E269" s="238" t="s">
        <v>69</v>
      </c>
      <c r="F269" s="241"/>
      <c r="G269" s="91"/>
      <c r="H269" s="91"/>
      <c r="I269" s="92"/>
      <c r="J269" s="85"/>
      <c r="K269" s="211">
        <f t="shared" si="90"/>
        <v>654.29999999999995</v>
      </c>
      <c r="L269" s="211">
        <f t="shared" si="90"/>
        <v>0</v>
      </c>
      <c r="M269" s="211">
        <f t="shared" si="90"/>
        <v>654.29999999999995</v>
      </c>
      <c r="N269" s="211">
        <f>N270</f>
        <v>653.70000000000005</v>
      </c>
      <c r="O269" s="146"/>
    </row>
    <row r="270" spans="1:19" s="120" customFormat="1" ht="54" x14ac:dyDescent="0.35">
      <c r="A270" s="115"/>
      <c r="B270" s="499" t="s">
        <v>202</v>
      </c>
      <c r="C270" s="240" t="s">
        <v>417</v>
      </c>
      <c r="D270" s="238" t="s">
        <v>36</v>
      </c>
      <c r="E270" s="238" t="s">
        <v>69</v>
      </c>
      <c r="F270" s="669" t="s">
        <v>38</v>
      </c>
      <c r="G270" s="670" t="s">
        <v>41</v>
      </c>
      <c r="H270" s="670" t="s">
        <v>42</v>
      </c>
      <c r="I270" s="671" t="s">
        <v>43</v>
      </c>
      <c r="J270" s="238"/>
      <c r="K270" s="211">
        <f>K271</f>
        <v>654.29999999999995</v>
      </c>
      <c r="L270" s="211">
        <f t="shared" si="90"/>
        <v>0</v>
      </c>
      <c r="M270" s="211">
        <f>M271</f>
        <v>654.29999999999995</v>
      </c>
      <c r="N270" s="211">
        <f>N271</f>
        <v>653.70000000000005</v>
      </c>
      <c r="O270" s="146"/>
    </row>
    <row r="271" spans="1:19" s="120" customFormat="1" ht="54" x14ac:dyDescent="0.35">
      <c r="A271" s="115"/>
      <c r="B271" s="563" t="s">
        <v>209</v>
      </c>
      <c r="C271" s="240" t="s">
        <v>417</v>
      </c>
      <c r="D271" s="238" t="s">
        <v>36</v>
      </c>
      <c r="E271" s="238" t="s">
        <v>69</v>
      </c>
      <c r="F271" s="669" t="s">
        <v>38</v>
      </c>
      <c r="G271" s="670" t="s">
        <v>29</v>
      </c>
      <c r="H271" s="670" t="s">
        <v>42</v>
      </c>
      <c r="I271" s="671" t="s">
        <v>43</v>
      </c>
      <c r="J271" s="238"/>
      <c r="K271" s="211">
        <f>K272+K275+K278</f>
        <v>654.29999999999995</v>
      </c>
      <c r="L271" s="211">
        <f t="shared" ref="L271" si="91">L272+L275+L278</f>
        <v>0</v>
      </c>
      <c r="M271" s="211">
        <f>M272+M275+M278</f>
        <v>654.29999999999995</v>
      </c>
      <c r="N271" s="211">
        <f>N272+N275+N278</f>
        <v>653.70000000000005</v>
      </c>
      <c r="O271" s="146"/>
    </row>
    <row r="272" spans="1:19" s="120" customFormat="1" ht="36" x14ac:dyDescent="0.35">
      <c r="A272" s="115"/>
      <c r="B272" s="499" t="s">
        <v>347</v>
      </c>
      <c r="C272" s="240" t="s">
        <v>417</v>
      </c>
      <c r="D272" s="238" t="s">
        <v>36</v>
      </c>
      <c r="E272" s="238" t="s">
        <v>69</v>
      </c>
      <c r="F272" s="669" t="s">
        <v>38</v>
      </c>
      <c r="G272" s="670" t="s">
        <v>29</v>
      </c>
      <c r="H272" s="670" t="s">
        <v>61</v>
      </c>
      <c r="I272" s="671" t="s">
        <v>43</v>
      </c>
      <c r="J272" s="238"/>
      <c r="K272" s="211">
        <f t="shared" ref="K272:N273" si="92">K273</f>
        <v>515.5</v>
      </c>
      <c r="L272" s="211">
        <f t="shared" si="92"/>
        <v>0</v>
      </c>
      <c r="M272" s="211">
        <f t="shared" si="92"/>
        <v>515.5</v>
      </c>
      <c r="N272" s="211">
        <f t="shared" si="92"/>
        <v>515.5</v>
      </c>
      <c r="O272" s="146"/>
    </row>
    <row r="273" spans="1:15" s="120" customFormat="1" ht="54" x14ac:dyDescent="0.35">
      <c r="A273" s="115"/>
      <c r="B273" s="563" t="s">
        <v>462</v>
      </c>
      <c r="C273" s="242" t="s">
        <v>417</v>
      </c>
      <c r="D273" s="238" t="s">
        <v>36</v>
      </c>
      <c r="E273" s="238" t="s">
        <v>69</v>
      </c>
      <c r="F273" s="669" t="s">
        <v>38</v>
      </c>
      <c r="G273" s="670" t="s">
        <v>29</v>
      </c>
      <c r="H273" s="670" t="s">
        <v>61</v>
      </c>
      <c r="I273" s="671" t="s">
        <v>103</v>
      </c>
      <c r="J273" s="238"/>
      <c r="K273" s="211">
        <f t="shared" si="92"/>
        <v>515.5</v>
      </c>
      <c r="L273" s="211">
        <f t="shared" si="92"/>
        <v>0</v>
      </c>
      <c r="M273" s="211">
        <f t="shared" si="92"/>
        <v>515.5</v>
      </c>
      <c r="N273" s="211">
        <f t="shared" si="92"/>
        <v>515.5</v>
      </c>
      <c r="O273" s="146"/>
    </row>
    <row r="274" spans="1:15" s="120" customFormat="1" ht="54" x14ac:dyDescent="0.35">
      <c r="A274" s="115"/>
      <c r="B274" s="563" t="s">
        <v>53</v>
      </c>
      <c r="C274" s="242" t="s">
        <v>417</v>
      </c>
      <c r="D274" s="238" t="s">
        <v>36</v>
      </c>
      <c r="E274" s="238" t="s">
        <v>69</v>
      </c>
      <c r="F274" s="669" t="s">
        <v>38</v>
      </c>
      <c r="G274" s="670" t="s">
        <v>29</v>
      </c>
      <c r="H274" s="670" t="s">
        <v>61</v>
      </c>
      <c r="I274" s="671" t="s">
        <v>103</v>
      </c>
      <c r="J274" s="238" t="s">
        <v>54</v>
      </c>
      <c r="K274" s="211">
        <v>515.5</v>
      </c>
      <c r="L274" s="29">
        <f>M274-K274</f>
        <v>0</v>
      </c>
      <c r="M274" s="211">
        <v>515.5</v>
      </c>
      <c r="N274" s="211">
        <v>515.5</v>
      </c>
      <c r="O274" s="146"/>
    </row>
    <row r="275" spans="1:15" s="120" customFormat="1" ht="36" x14ac:dyDescent="0.35">
      <c r="A275" s="115"/>
      <c r="B275" s="563" t="s">
        <v>458</v>
      </c>
      <c r="C275" s="240" t="s">
        <v>417</v>
      </c>
      <c r="D275" s="238" t="s">
        <v>36</v>
      </c>
      <c r="E275" s="238" t="s">
        <v>69</v>
      </c>
      <c r="F275" s="669" t="s">
        <v>38</v>
      </c>
      <c r="G275" s="670" t="s">
        <v>29</v>
      </c>
      <c r="H275" s="670" t="s">
        <v>50</v>
      </c>
      <c r="I275" s="671" t="s">
        <v>43</v>
      </c>
      <c r="J275" s="238"/>
      <c r="K275" s="211">
        <f t="shared" ref="K275:N276" si="93">K276</f>
        <v>24</v>
      </c>
      <c r="L275" s="211">
        <f t="shared" si="93"/>
        <v>0</v>
      </c>
      <c r="M275" s="211">
        <f t="shared" si="93"/>
        <v>24</v>
      </c>
      <c r="N275" s="211">
        <f t="shared" si="93"/>
        <v>24</v>
      </c>
      <c r="O275" s="146"/>
    </row>
    <row r="276" spans="1:15" s="120" customFormat="1" ht="18" x14ac:dyDescent="0.35">
      <c r="A276" s="115"/>
      <c r="B276" s="563" t="s">
        <v>463</v>
      </c>
      <c r="C276" s="242" t="s">
        <v>417</v>
      </c>
      <c r="D276" s="238" t="s">
        <v>36</v>
      </c>
      <c r="E276" s="238" t="s">
        <v>69</v>
      </c>
      <c r="F276" s="669" t="s">
        <v>38</v>
      </c>
      <c r="G276" s="670" t="s">
        <v>29</v>
      </c>
      <c r="H276" s="670" t="s">
        <v>50</v>
      </c>
      <c r="I276" s="671" t="s">
        <v>457</v>
      </c>
      <c r="J276" s="238"/>
      <c r="K276" s="211">
        <f t="shared" si="93"/>
        <v>24</v>
      </c>
      <c r="L276" s="211">
        <f t="shared" si="93"/>
        <v>0</v>
      </c>
      <c r="M276" s="211">
        <f t="shared" si="93"/>
        <v>24</v>
      </c>
      <c r="N276" s="211">
        <f t="shared" si="93"/>
        <v>24</v>
      </c>
      <c r="O276" s="146"/>
    </row>
    <row r="277" spans="1:15" s="120" customFormat="1" ht="54" x14ac:dyDescent="0.35">
      <c r="A277" s="115"/>
      <c r="B277" s="563" t="s">
        <v>53</v>
      </c>
      <c r="C277" s="242" t="s">
        <v>417</v>
      </c>
      <c r="D277" s="238" t="s">
        <v>36</v>
      </c>
      <c r="E277" s="238" t="s">
        <v>69</v>
      </c>
      <c r="F277" s="669" t="s">
        <v>38</v>
      </c>
      <c r="G277" s="670" t="s">
        <v>29</v>
      </c>
      <c r="H277" s="670" t="s">
        <v>50</v>
      </c>
      <c r="I277" s="671" t="s">
        <v>457</v>
      </c>
      <c r="J277" s="238" t="s">
        <v>54</v>
      </c>
      <c r="K277" s="211">
        <v>24</v>
      </c>
      <c r="L277" s="29">
        <f>M277-K277</f>
        <v>0</v>
      </c>
      <c r="M277" s="211">
        <v>24</v>
      </c>
      <c r="N277" s="211">
        <v>24</v>
      </c>
      <c r="O277" s="146"/>
    </row>
    <row r="278" spans="1:15" s="120" customFormat="1" ht="36" x14ac:dyDescent="0.35">
      <c r="A278" s="115"/>
      <c r="B278" s="563" t="s">
        <v>461</v>
      </c>
      <c r="C278" s="242" t="s">
        <v>417</v>
      </c>
      <c r="D278" s="238" t="s">
        <v>36</v>
      </c>
      <c r="E278" s="238" t="s">
        <v>69</v>
      </c>
      <c r="F278" s="669" t="s">
        <v>38</v>
      </c>
      <c r="G278" s="670" t="s">
        <v>29</v>
      </c>
      <c r="H278" s="670" t="s">
        <v>63</v>
      </c>
      <c r="I278" s="397" t="s">
        <v>43</v>
      </c>
      <c r="J278" s="83"/>
      <c r="K278" s="211">
        <f t="shared" ref="K278:N279" si="94">K279</f>
        <v>114.8</v>
      </c>
      <c r="L278" s="211">
        <f t="shared" si="94"/>
        <v>0</v>
      </c>
      <c r="M278" s="211">
        <f t="shared" si="94"/>
        <v>114.8</v>
      </c>
      <c r="N278" s="211">
        <f t="shared" si="94"/>
        <v>114.2</v>
      </c>
      <c r="O278" s="146"/>
    </row>
    <row r="279" spans="1:15" s="120" customFormat="1" ht="36" x14ac:dyDescent="0.35">
      <c r="A279" s="115"/>
      <c r="B279" s="563" t="s">
        <v>125</v>
      </c>
      <c r="C279" s="242" t="s">
        <v>417</v>
      </c>
      <c r="D279" s="238" t="s">
        <v>36</v>
      </c>
      <c r="E279" s="238" t="s">
        <v>69</v>
      </c>
      <c r="F279" s="669" t="s">
        <v>38</v>
      </c>
      <c r="G279" s="670" t="s">
        <v>29</v>
      </c>
      <c r="H279" s="670" t="s">
        <v>63</v>
      </c>
      <c r="I279" s="397" t="s">
        <v>88</v>
      </c>
      <c r="J279" s="83"/>
      <c r="K279" s="211">
        <f t="shared" si="94"/>
        <v>114.8</v>
      </c>
      <c r="L279" s="211">
        <f t="shared" si="94"/>
        <v>0</v>
      </c>
      <c r="M279" s="211">
        <f t="shared" si="94"/>
        <v>114.8</v>
      </c>
      <c r="N279" s="211">
        <f t="shared" si="94"/>
        <v>114.2</v>
      </c>
      <c r="O279" s="146"/>
    </row>
    <row r="280" spans="1:15" s="120" customFormat="1" ht="54" x14ac:dyDescent="0.35">
      <c r="A280" s="115"/>
      <c r="B280" s="563" t="s">
        <v>53</v>
      </c>
      <c r="C280" s="242" t="s">
        <v>417</v>
      </c>
      <c r="D280" s="238" t="s">
        <v>36</v>
      </c>
      <c r="E280" s="238" t="s">
        <v>69</v>
      </c>
      <c r="F280" s="669" t="s">
        <v>38</v>
      </c>
      <c r="G280" s="670" t="s">
        <v>29</v>
      </c>
      <c r="H280" s="670" t="s">
        <v>63</v>
      </c>
      <c r="I280" s="397" t="s">
        <v>88</v>
      </c>
      <c r="J280" s="83" t="s">
        <v>54</v>
      </c>
      <c r="K280" s="211">
        <v>114.8</v>
      </c>
      <c r="L280" s="29">
        <f>M280-K280</f>
        <v>0</v>
      </c>
      <c r="M280" s="211">
        <v>114.8</v>
      </c>
      <c r="N280" s="211">
        <v>114.2</v>
      </c>
      <c r="O280" s="146"/>
    </row>
    <row r="281" spans="1:15" s="121" customFormat="1" ht="18" x14ac:dyDescent="0.35">
      <c r="A281" s="16"/>
      <c r="B281" s="497" t="s">
        <v>176</v>
      </c>
      <c r="C281" s="28" t="s">
        <v>417</v>
      </c>
      <c r="D281" s="15" t="s">
        <v>220</v>
      </c>
      <c r="E281" s="15"/>
      <c r="F281" s="676"/>
      <c r="G281" s="677"/>
      <c r="H281" s="677"/>
      <c r="I281" s="678"/>
      <c r="J281" s="15"/>
      <c r="K281" s="29">
        <f>K282+K294+K357+K340</f>
        <v>1377711.5999999999</v>
      </c>
      <c r="L281" s="29">
        <f>L282+L294+L357+L340</f>
        <v>0</v>
      </c>
      <c r="M281" s="29">
        <f>M282+M294+M357+M340</f>
        <v>1377711.5999999999</v>
      </c>
      <c r="N281" s="29">
        <f>N282+N294+N357+N340</f>
        <v>1410542.3</v>
      </c>
      <c r="O281" s="147"/>
    </row>
    <row r="282" spans="1:15" s="120" customFormat="1" ht="18" x14ac:dyDescent="0.35">
      <c r="A282" s="16"/>
      <c r="B282" s="497" t="s">
        <v>178</v>
      </c>
      <c r="C282" s="28" t="s">
        <v>417</v>
      </c>
      <c r="D282" s="15" t="s">
        <v>220</v>
      </c>
      <c r="E282" s="15" t="s">
        <v>36</v>
      </c>
      <c r="F282" s="676"/>
      <c r="G282" s="677"/>
      <c r="H282" s="677"/>
      <c r="I282" s="678"/>
      <c r="J282" s="15"/>
      <c r="K282" s="29">
        <f>K283</f>
        <v>437228.6</v>
      </c>
      <c r="L282" s="29">
        <f t="shared" ref="L282" si="95">L283</f>
        <v>0</v>
      </c>
      <c r="M282" s="29">
        <f>M283</f>
        <v>437228.6</v>
      </c>
      <c r="N282" s="29">
        <f>N283</f>
        <v>448407.1</v>
      </c>
    </row>
    <row r="283" spans="1:15" s="120" customFormat="1" ht="54" x14ac:dyDescent="0.35">
      <c r="A283" s="16"/>
      <c r="B283" s="497" t="s">
        <v>202</v>
      </c>
      <c r="C283" s="28" t="s">
        <v>417</v>
      </c>
      <c r="D283" s="15" t="s">
        <v>220</v>
      </c>
      <c r="E283" s="15" t="s">
        <v>36</v>
      </c>
      <c r="F283" s="676" t="s">
        <v>38</v>
      </c>
      <c r="G283" s="677" t="s">
        <v>41</v>
      </c>
      <c r="H283" s="677" t="s">
        <v>42</v>
      </c>
      <c r="I283" s="678" t="s">
        <v>43</v>
      </c>
      <c r="J283" s="15"/>
      <c r="K283" s="29">
        <f t="shared" ref="K283:N284" si="96">K284</f>
        <v>437228.6</v>
      </c>
      <c r="L283" s="29">
        <f t="shared" si="96"/>
        <v>0</v>
      </c>
      <c r="M283" s="29">
        <f t="shared" si="96"/>
        <v>437228.6</v>
      </c>
      <c r="N283" s="29">
        <f t="shared" si="96"/>
        <v>448407.1</v>
      </c>
    </row>
    <row r="284" spans="1:15" s="120" customFormat="1" ht="36" x14ac:dyDescent="0.35">
      <c r="A284" s="16"/>
      <c r="B284" s="497" t="s">
        <v>203</v>
      </c>
      <c r="C284" s="28" t="s">
        <v>417</v>
      </c>
      <c r="D284" s="15" t="s">
        <v>220</v>
      </c>
      <c r="E284" s="15" t="s">
        <v>36</v>
      </c>
      <c r="F284" s="676" t="s">
        <v>38</v>
      </c>
      <c r="G284" s="677" t="s">
        <v>44</v>
      </c>
      <c r="H284" s="677" t="s">
        <v>42</v>
      </c>
      <c r="I284" s="678" t="s">
        <v>43</v>
      </c>
      <c r="J284" s="15"/>
      <c r="K284" s="29">
        <f>K285</f>
        <v>437228.6</v>
      </c>
      <c r="L284" s="29">
        <f t="shared" si="96"/>
        <v>0</v>
      </c>
      <c r="M284" s="29">
        <f>M285</f>
        <v>437228.6</v>
      </c>
      <c r="N284" s="29">
        <f t="shared" si="96"/>
        <v>448407.1</v>
      </c>
    </row>
    <row r="285" spans="1:15" s="120" customFormat="1" ht="36" x14ac:dyDescent="0.35">
      <c r="A285" s="16"/>
      <c r="B285" s="497" t="s">
        <v>263</v>
      </c>
      <c r="C285" s="28" t="s">
        <v>417</v>
      </c>
      <c r="D285" s="15" t="s">
        <v>220</v>
      </c>
      <c r="E285" s="15" t="s">
        <v>36</v>
      </c>
      <c r="F285" s="676" t="s">
        <v>38</v>
      </c>
      <c r="G285" s="677" t="s">
        <v>44</v>
      </c>
      <c r="H285" s="677" t="s">
        <v>36</v>
      </c>
      <c r="I285" s="678" t="s">
        <v>43</v>
      </c>
      <c r="J285" s="15"/>
      <c r="K285" s="29">
        <f>K290+K288+K292+K286</f>
        <v>437228.6</v>
      </c>
      <c r="L285" s="29">
        <f t="shared" ref="L285" si="97">L290+L288+L292+L286</f>
        <v>0</v>
      </c>
      <c r="M285" s="29">
        <f>M290+M288+M292+M286</f>
        <v>437228.6</v>
      </c>
      <c r="N285" s="29">
        <f>N290+N288+N292+N286</f>
        <v>448407.1</v>
      </c>
    </row>
    <row r="286" spans="1:15" s="116" customFormat="1" ht="36" x14ac:dyDescent="0.35">
      <c r="A286" s="16"/>
      <c r="B286" s="573" t="s">
        <v>454</v>
      </c>
      <c r="C286" s="28" t="s">
        <v>417</v>
      </c>
      <c r="D286" s="15" t="s">
        <v>220</v>
      </c>
      <c r="E286" s="15" t="s">
        <v>36</v>
      </c>
      <c r="F286" s="676" t="s">
        <v>38</v>
      </c>
      <c r="G286" s="677" t="s">
        <v>44</v>
      </c>
      <c r="H286" s="677" t="s">
        <v>36</v>
      </c>
      <c r="I286" s="678" t="s">
        <v>89</v>
      </c>
      <c r="J286" s="15"/>
      <c r="K286" s="29">
        <f>K287</f>
        <v>110353.1</v>
      </c>
      <c r="L286" s="29">
        <f t="shared" ref="L286" si="98">L287</f>
        <v>0</v>
      </c>
      <c r="M286" s="29">
        <f>M287</f>
        <v>110353.1</v>
      </c>
      <c r="N286" s="29">
        <f>N287</f>
        <v>111385</v>
      </c>
    </row>
    <row r="287" spans="1:15" s="116" customFormat="1" ht="54" x14ac:dyDescent="0.35">
      <c r="A287" s="16"/>
      <c r="B287" s="497" t="s">
        <v>74</v>
      </c>
      <c r="C287" s="28" t="s">
        <v>417</v>
      </c>
      <c r="D287" s="15" t="s">
        <v>220</v>
      </c>
      <c r="E287" s="15" t="s">
        <v>36</v>
      </c>
      <c r="F287" s="676" t="s">
        <v>38</v>
      </c>
      <c r="G287" s="677" t="s">
        <v>44</v>
      </c>
      <c r="H287" s="677" t="s">
        <v>36</v>
      </c>
      <c r="I287" s="678" t="s">
        <v>89</v>
      </c>
      <c r="J287" s="15" t="s">
        <v>75</v>
      </c>
      <c r="K287" s="29">
        <v>110353.1</v>
      </c>
      <c r="L287" s="29">
        <f>M287-K287</f>
        <v>0</v>
      </c>
      <c r="M287" s="29">
        <v>110353.1</v>
      </c>
      <c r="N287" s="29">
        <v>111385</v>
      </c>
    </row>
    <row r="288" spans="1:15" s="116" customFormat="1" ht="54" x14ac:dyDescent="0.35">
      <c r="A288" s="16"/>
      <c r="B288" s="497" t="s">
        <v>204</v>
      </c>
      <c r="C288" s="28" t="s">
        <v>417</v>
      </c>
      <c r="D288" s="15" t="s">
        <v>220</v>
      </c>
      <c r="E288" s="15" t="s">
        <v>36</v>
      </c>
      <c r="F288" s="676" t="s">
        <v>38</v>
      </c>
      <c r="G288" s="677" t="s">
        <v>44</v>
      </c>
      <c r="H288" s="677" t="s">
        <v>36</v>
      </c>
      <c r="I288" s="678" t="s">
        <v>269</v>
      </c>
      <c r="J288" s="15"/>
      <c r="K288" s="29">
        <f>K289</f>
        <v>30842.2</v>
      </c>
      <c r="L288" s="29">
        <f t="shared" ref="L288" si="99">L289</f>
        <v>0</v>
      </c>
      <c r="M288" s="29">
        <f>M289</f>
        <v>30842.2</v>
      </c>
      <c r="N288" s="29">
        <f>N289</f>
        <v>23747.8</v>
      </c>
    </row>
    <row r="289" spans="1:14" s="116" customFormat="1" ht="54" x14ac:dyDescent="0.35">
      <c r="A289" s="16"/>
      <c r="B289" s="497" t="s">
        <v>74</v>
      </c>
      <c r="C289" s="28" t="s">
        <v>417</v>
      </c>
      <c r="D289" s="15" t="s">
        <v>220</v>
      </c>
      <c r="E289" s="15" t="s">
        <v>36</v>
      </c>
      <c r="F289" s="676" t="s">
        <v>38</v>
      </c>
      <c r="G289" s="677" t="s">
        <v>44</v>
      </c>
      <c r="H289" s="677" t="s">
        <v>36</v>
      </c>
      <c r="I289" s="678" t="s">
        <v>269</v>
      </c>
      <c r="J289" s="15" t="s">
        <v>75</v>
      </c>
      <c r="K289" s="29">
        <v>30842.2</v>
      </c>
      <c r="L289" s="29">
        <f>M289-K289</f>
        <v>0</v>
      </c>
      <c r="M289" s="29">
        <v>30842.2</v>
      </c>
      <c r="N289" s="29">
        <v>23747.8</v>
      </c>
    </row>
    <row r="290" spans="1:14" s="120" customFormat="1" ht="180" x14ac:dyDescent="0.35">
      <c r="A290" s="16"/>
      <c r="B290" s="497" t="s">
        <v>264</v>
      </c>
      <c r="C290" s="28" t="s">
        <v>417</v>
      </c>
      <c r="D290" s="15" t="s">
        <v>220</v>
      </c>
      <c r="E290" s="15" t="s">
        <v>36</v>
      </c>
      <c r="F290" s="676" t="s">
        <v>38</v>
      </c>
      <c r="G290" s="677" t="s">
        <v>44</v>
      </c>
      <c r="H290" s="677" t="s">
        <v>36</v>
      </c>
      <c r="I290" s="678" t="s">
        <v>265</v>
      </c>
      <c r="J290" s="15"/>
      <c r="K290" s="29">
        <f>K291</f>
        <v>655.8</v>
      </c>
      <c r="L290" s="29">
        <f t="shared" ref="L290" si="100">L291</f>
        <v>0</v>
      </c>
      <c r="M290" s="29">
        <f>M291</f>
        <v>655.8</v>
      </c>
      <c r="N290" s="29">
        <f>N291</f>
        <v>682</v>
      </c>
    </row>
    <row r="291" spans="1:14" s="120" customFormat="1" ht="54" x14ac:dyDescent="0.35">
      <c r="A291" s="16"/>
      <c r="B291" s="497" t="s">
        <v>74</v>
      </c>
      <c r="C291" s="28" t="s">
        <v>417</v>
      </c>
      <c r="D291" s="15" t="s">
        <v>220</v>
      </c>
      <c r="E291" s="15" t="s">
        <v>36</v>
      </c>
      <c r="F291" s="676" t="s">
        <v>38</v>
      </c>
      <c r="G291" s="677" t="s">
        <v>44</v>
      </c>
      <c r="H291" s="677" t="s">
        <v>36</v>
      </c>
      <c r="I291" s="678" t="s">
        <v>265</v>
      </c>
      <c r="J291" s="15" t="s">
        <v>75</v>
      </c>
      <c r="K291" s="29">
        <v>655.8</v>
      </c>
      <c r="L291" s="29">
        <f>M291-K291</f>
        <v>0</v>
      </c>
      <c r="M291" s="29">
        <v>655.8</v>
      </c>
      <c r="N291" s="29">
        <v>682</v>
      </c>
    </row>
    <row r="292" spans="1:14" s="120" customFormat="1" ht="108" x14ac:dyDescent="0.35">
      <c r="A292" s="16"/>
      <c r="B292" s="497" t="s">
        <v>341</v>
      </c>
      <c r="C292" s="28" t="s">
        <v>417</v>
      </c>
      <c r="D292" s="15" t="s">
        <v>220</v>
      </c>
      <c r="E292" s="15" t="s">
        <v>36</v>
      </c>
      <c r="F292" s="676" t="s">
        <v>38</v>
      </c>
      <c r="G292" s="677" t="s">
        <v>44</v>
      </c>
      <c r="H292" s="677" t="s">
        <v>36</v>
      </c>
      <c r="I292" s="678" t="s">
        <v>266</v>
      </c>
      <c r="J292" s="15"/>
      <c r="K292" s="29">
        <f>K293</f>
        <v>295377.5</v>
      </c>
      <c r="L292" s="29">
        <f t="shared" ref="L292" si="101">L293</f>
        <v>0</v>
      </c>
      <c r="M292" s="29">
        <f>M293</f>
        <v>295377.5</v>
      </c>
      <c r="N292" s="29">
        <f>N293</f>
        <v>312592.3</v>
      </c>
    </row>
    <row r="293" spans="1:14" s="120" customFormat="1" ht="54" x14ac:dyDescent="0.35">
      <c r="A293" s="16"/>
      <c r="B293" s="497" t="s">
        <v>74</v>
      </c>
      <c r="C293" s="28" t="s">
        <v>417</v>
      </c>
      <c r="D293" s="15" t="s">
        <v>220</v>
      </c>
      <c r="E293" s="15" t="s">
        <v>36</v>
      </c>
      <c r="F293" s="676" t="s">
        <v>38</v>
      </c>
      <c r="G293" s="677" t="s">
        <v>44</v>
      </c>
      <c r="H293" s="677" t="s">
        <v>36</v>
      </c>
      <c r="I293" s="678" t="s">
        <v>266</v>
      </c>
      <c r="J293" s="15" t="s">
        <v>75</v>
      </c>
      <c r="K293" s="29">
        <v>295377.5</v>
      </c>
      <c r="L293" s="29">
        <f>M293-K293</f>
        <v>0</v>
      </c>
      <c r="M293" s="29">
        <v>295377.5</v>
      </c>
      <c r="N293" s="29">
        <v>312592.3</v>
      </c>
    </row>
    <row r="294" spans="1:14" s="120" customFormat="1" ht="18" x14ac:dyDescent="0.35">
      <c r="A294" s="16"/>
      <c r="B294" s="497" t="s">
        <v>180</v>
      </c>
      <c r="C294" s="28" t="s">
        <v>417</v>
      </c>
      <c r="D294" s="15" t="s">
        <v>220</v>
      </c>
      <c r="E294" s="15" t="s">
        <v>38</v>
      </c>
      <c r="F294" s="676"/>
      <c r="G294" s="677"/>
      <c r="H294" s="677"/>
      <c r="I294" s="678"/>
      <c r="J294" s="15"/>
      <c r="K294" s="29">
        <f>K295</f>
        <v>785496.7</v>
      </c>
      <c r="L294" s="29">
        <f t="shared" ref="L294" si="102">L295</f>
        <v>0</v>
      </c>
      <c r="M294" s="29">
        <f>M295</f>
        <v>785496.7</v>
      </c>
      <c r="N294" s="29">
        <f>N295</f>
        <v>807394.70000000007</v>
      </c>
    </row>
    <row r="295" spans="1:14" s="120" customFormat="1" ht="54" x14ac:dyDescent="0.35">
      <c r="A295" s="16"/>
      <c r="B295" s="497" t="s">
        <v>202</v>
      </c>
      <c r="C295" s="28" t="s">
        <v>417</v>
      </c>
      <c r="D295" s="15" t="s">
        <v>220</v>
      </c>
      <c r="E295" s="15" t="s">
        <v>38</v>
      </c>
      <c r="F295" s="676" t="s">
        <v>38</v>
      </c>
      <c r="G295" s="677" t="s">
        <v>41</v>
      </c>
      <c r="H295" s="677" t="s">
        <v>42</v>
      </c>
      <c r="I295" s="678" t="s">
        <v>43</v>
      </c>
      <c r="J295" s="15"/>
      <c r="K295" s="29">
        <f>K296+K336</f>
        <v>785496.7</v>
      </c>
      <c r="L295" s="29">
        <f>L296+L336</f>
        <v>0</v>
      </c>
      <c r="M295" s="29">
        <f>M296+M336</f>
        <v>785496.7</v>
      </c>
      <c r="N295" s="29">
        <f>N296+N336</f>
        <v>807394.70000000007</v>
      </c>
    </row>
    <row r="296" spans="1:14" s="120" customFormat="1" ht="36" x14ac:dyDescent="0.35">
      <c r="A296" s="16"/>
      <c r="B296" s="497" t="s">
        <v>203</v>
      </c>
      <c r="C296" s="28" t="s">
        <v>417</v>
      </c>
      <c r="D296" s="15" t="s">
        <v>220</v>
      </c>
      <c r="E296" s="15" t="s">
        <v>38</v>
      </c>
      <c r="F296" s="676" t="s">
        <v>38</v>
      </c>
      <c r="G296" s="677" t="s">
        <v>44</v>
      </c>
      <c r="H296" s="677" t="s">
        <v>42</v>
      </c>
      <c r="I296" s="678" t="s">
        <v>43</v>
      </c>
      <c r="J296" s="15"/>
      <c r="K296" s="29">
        <f>K297+K332</f>
        <v>783205.2</v>
      </c>
      <c r="L296" s="29">
        <f>L297+L332</f>
        <v>0</v>
      </c>
      <c r="M296" s="29">
        <f>M297+M332</f>
        <v>783205.2</v>
      </c>
      <c r="N296" s="29">
        <f>N297+N332</f>
        <v>805132.4</v>
      </c>
    </row>
    <row r="297" spans="1:14" s="120" customFormat="1" ht="18" x14ac:dyDescent="0.35">
      <c r="A297" s="16"/>
      <c r="B297" s="497" t="s">
        <v>268</v>
      </c>
      <c r="C297" s="28" t="s">
        <v>417</v>
      </c>
      <c r="D297" s="15" t="s">
        <v>220</v>
      </c>
      <c r="E297" s="15" t="s">
        <v>38</v>
      </c>
      <c r="F297" s="676" t="s">
        <v>38</v>
      </c>
      <c r="G297" s="677" t="s">
        <v>44</v>
      </c>
      <c r="H297" s="677" t="s">
        <v>38</v>
      </c>
      <c r="I297" s="678" t="s">
        <v>43</v>
      </c>
      <c r="J297" s="15"/>
      <c r="K297" s="29">
        <f>K309+K313+K317+K298+K306+K322+K303+K328+K320+K325</f>
        <v>777459.29999999993</v>
      </c>
      <c r="L297" s="29">
        <f t="shared" ref="L297" si="103">L309+L313+L317+L298+L306+L322+L303+L328+L320+L325</f>
        <v>0</v>
      </c>
      <c r="M297" s="29">
        <f>M309+M313+M317+M298+M306+M322+M303+M328+M320+M325</f>
        <v>777459.29999999993</v>
      </c>
      <c r="N297" s="29">
        <f t="shared" ref="N297" si="104">N309+N313+N317+N298+N306+N322+N303+N328+N320+N325</f>
        <v>798186</v>
      </c>
    </row>
    <row r="298" spans="1:14" s="116" customFormat="1" ht="36" x14ac:dyDescent="0.35">
      <c r="A298" s="16"/>
      <c r="B298" s="573" t="s">
        <v>454</v>
      </c>
      <c r="C298" s="28" t="s">
        <v>417</v>
      </c>
      <c r="D298" s="15" t="s">
        <v>220</v>
      </c>
      <c r="E298" s="15" t="s">
        <v>38</v>
      </c>
      <c r="F298" s="676" t="s">
        <v>38</v>
      </c>
      <c r="G298" s="677" t="s">
        <v>44</v>
      </c>
      <c r="H298" s="677" t="s">
        <v>38</v>
      </c>
      <c r="I298" s="678" t="s">
        <v>89</v>
      </c>
      <c r="J298" s="15"/>
      <c r="K298" s="29">
        <f>K301+K302+K300+K299</f>
        <v>83040.900000000009</v>
      </c>
      <c r="L298" s="29">
        <f t="shared" ref="L298" si="105">L301+L302+L300+L299</f>
        <v>0</v>
      </c>
      <c r="M298" s="29">
        <f>M301+M302+M300+M299</f>
        <v>83040.900000000009</v>
      </c>
      <c r="N298" s="29">
        <f>N301+N302+N300+N299</f>
        <v>85008.1</v>
      </c>
    </row>
    <row r="299" spans="1:14" s="116" customFormat="1" ht="108" x14ac:dyDescent="0.35">
      <c r="A299" s="16"/>
      <c r="B299" s="497" t="s">
        <v>48</v>
      </c>
      <c r="C299" s="28" t="s">
        <v>417</v>
      </c>
      <c r="D299" s="15" t="s">
        <v>220</v>
      </c>
      <c r="E299" s="15" t="s">
        <v>38</v>
      </c>
      <c r="F299" s="676" t="s">
        <v>38</v>
      </c>
      <c r="G299" s="677" t="s">
        <v>44</v>
      </c>
      <c r="H299" s="677" t="s">
        <v>38</v>
      </c>
      <c r="I299" s="678" t="s">
        <v>89</v>
      </c>
      <c r="J299" s="15" t="s">
        <v>49</v>
      </c>
      <c r="K299" s="29">
        <v>451</v>
      </c>
      <c r="L299" s="29">
        <f>M299-K299</f>
        <v>0</v>
      </c>
      <c r="M299" s="29">
        <v>451</v>
      </c>
      <c r="N299" s="29">
        <v>451</v>
      </c>
    </row>
    <row r="300" spans="1:14" s="116" customFormat="1" ht="54" x14ac:dyDescent="0.35">
      <c r="A300" s="16"/>
      <c r="B300" s="497" t="s">
        <v>53</v>
      </c>
      <c r="C300" s="28" t="s">
        <v>417</v>
      </c>
      <c r="D300" s="15" t="s">
        <v>220</v>
      </c>
      <c r="E300" s="15" t="s">
        <v>38</v>
      </c>
      <c r="F300" s="676" t="s">
        <v>38</v>
      </c>
      <c r="G300" s="677" t="s">
        <v>44</v>
      </c>
      <c r="H300" s="677" t="s">
        <v>38</v>
      </c>
      <c r="I300" s="678" t="s">
        <v>89</v>
      </c>
      <c r="J300" s="15" t="s">
        <v>54</v>
      </c>
      <c r="K300" s="29">
        <v>7088.1</v>
      </c>
      <c r="L300" s="29">
        <f>M300-K300</f>
        <v>0</v>
      </c>
      <c r="M300" s="29">
        <v>7088.1</v>
      </c>
      <c r="N300" s="29">
        <v>7239.5</v>
      </c>
    </row>
    <row r="301" spans="1:14" s="116" customFormat="1" ht="54" x14ac:dyDescent="0.35">
      <c r="A301" s="16"/>
      <c r="B301" s="497" t="s">
        <v>74</v>
      </c>
      <c r="C301" s="28" t="s">
        <v>417</v>
      </c>
      <c r="D301" s="15" t="s">
        <v>220</v>
      </c>
      <c r="E301" s="15" t="s">
        <v>38</v>
      </c>
      <c r="F301" s="676" t="s">
        <v>38</v>
      </c>
      <c r="G301" s="677" t="s">
        <v>44</v>
      </c>
      <c r="H301" s="677" t="s">
        <v>38</v>
      </c>
      <c r="I301" s="678" t="s">
        <v>89</v>
      </c>
      <c r="J301" s="15" t="s">
        <v>75</v>
      </c>
      <c r="K301" s="29">
        <v>75162.8</v>
      </c>
      <c r="L301" s="29">
        <f>M301-K301</f>
        <v>0</v>
      </c>
      <c r="M301" s="29">
        <v>75162.8</v>
      </c>
      <c r="N301" s="29">
        <v>76989.3</v>
      </c>
    </row>
    <row r="302" spans="1:14" s="116" customFormat="1" ht="18" x14ac:dyDescent="0.35">
      <c r="A302" s="16"/>
      <c r="B302" s="497" t="s">
        <v>55</v>
      </c>
      <c r="C302" s="28" t="s">
        <v>417</v>
      </c>
      <c r="D302" s="15" t="s">
        <v>220</v>
      </c>
      <c r="E302" s="15" t="s">
        <v>38</v>
      </c>
      <c r="F302" s="676" t="s">
        <v>38</v>
      </c>
      <c r="G302" s="677" t="s">
        <v>44</v>
      </c>
      <c r="H302" s="677" t="s">
        <v>38</v>
      </c>
      <c r="I302" s="678" t="s">
        <v>89</v>
      </c>
      <c r="J302" s="15" t="s">
        <v>56</v>
      </c>
      <c r="K302" s="29">
        <v>339</v>
      </c>
      <c r="L302" s="29">
        <f>M302-K302</f>
        <v>0</v>
      </c>
      <c r="M302" s="29">
        <v>339</v>
      </c>
      <c r="N302" s="29">
        <v>328.3</v>
      </c>
    </row>
    <row r="303" spans="1:14" s="116" customFormat="1" ht="54" x14ac:dyDescent="0.35">
      <c r="A303" s="16"/>
      <c r="B303" s="497" t="s">
        <v>204</v>
      </c>
      <c r="C303" s="28" t="s">
        <v>417</v>
      </c>
      <c r="D303" s="15" t="s">
        <v>220</v>
      </c>
      <c r="E303" s="15" t="s">
        <v>38</v>
      </c>
      <c r="F303" s="676" t="s">
        <v>38</v>
      </c>
      <c r="G303" s="677" t="s">
        <v>44</v>
      </c>
      <c r="H303" s="677" t="s">
        <v>38</v>
      </c>
      <c r="I303" s="678" t="s">
        <v>269</v>
      </c>
      <c r="J303" s="15"/>
      <c r="K303" s="29">
        <f>K304+K305</f>
        <v>28715.1</v>
      </c>
      <c r="L303" s="29">
        <f t="shared" ref="L303" si="106">L304+L305</f>
        <v>0</v>
      </c>
      <c r="M303" s="29">
        <f>M304+M305</f>
        <v>28715.1</v>
      </c>
      <c r="N303" s="29">
        <f>N304+N305</f>
        <v>22110</v>
      </c>
    </row>
    <row r="304" spans="1:14" s="116" customFormat="1" ht="54" x14ac:dyDescent="0.35">
      <c r="A304" s="16"/>
      <c r="B304" s="497" t="s">
        <v>53</v>
      </c>
      <c r="C304" s="28" t="s">
        <v>417</v>
      </c>
      <c r="D304" s="15" t="s">
        <v>220</v>
      </c>
      <c r="E304" s="15" t="s">
        <v>38</v>
      </c>
      <c r="F304" s="676" t="s">
        <v>38</v>
      </c>
      <c r="G304" s="677" t="s">
        <v>44</v>
      </c>
      <c r="H304" s="677" t="s">
        <v>38</v>
      </c>
      <c r="I304" s="678" t="s">
        <v>269</v>
      </c>
      <c r="J304" s="15" t="s">
        <v>54</v>
      </c>
      <c r="K304" s="29">
        <v>4254.1000000000004</v>
      </c>
      <c r="L304" s="29">
        <f>M304-K304</f>
        <v>0</v>
      </c>
      <c r="M304" s="29">
        <v>4254.1000000000004</v>
      </c>
      <c r="N304" s="29">
        <v>3275.6</v>
      </c>
    </row>
    <row r="305" spans="1:14" s="116" customFormat="1" ht="54" x14ac:dyDescent="0.35">
      <c r="A305" s="16"/>
      <c r="B305" s="497" t="s">
        <v>74</v>
      </c>
      <c r="C305" s="28" t="s">
        <v>417</v>
      </c>
      <c r="D305" s="15" t="s">
        <v>220</v>
      </c>
      <c r="E305" s="15" t="s">
        <v>38</v>
      </c>
      <c r="F305" s="676" t="s">
        <v>38</v>
      </c>
      <c r="G305" s="677" t="s">
        <v>44</v>
      </c>
      <c r="H305" s="677" t="s">
        <v>38</v>
      </c>
      <c r="I305" s="678" t="s">
        <v>269</v>
      </c>
      <c r="J305" s="15" t="s">
        <v>75</v>
      </c>
      <c r="K305" s="29">
        <v>24461</v>
      </c>
      <c r="L305" s="29">
        <f>M305-K305</f>
        <v>0</v>
      </c>
      <c r="M305" s="29">
        <v>24461</v>
      </c>
      <c r="N305" s="29">
        <v>18834.400000000001</v>
      </c>
    </row>
    <row r="306" spans="1:14" s="116" customFormat="1" ht="36" x14ac:dyDescent="0.35">
      <c r="A306" s="16"/>
      <c r="B306" s="497" t="s">
        <v>205</v>
      </c>
      <c r="C306" s="28" t="s">
        <v>417</v>
      </c>
      <c r="D306" s="15" t="s">
        <v>220</v>
      </c>
      <c r="E306" s="15" t="s">
        <v>38</v>
      </c>
      <c r="F306" s="676" t="s">
        <v>38</v>
      </c>
      <c r="G306" s="677" t="s">
        <v>44</v>
      </c>
      <c r="H306" s="677" t="s">
        <v>38</v>
      </c>
      <c r="I306" s="678" t="s">
        <v>270</v>
      </c>
      <c r="J306" s="15"/>
      <c r="K306" s="29">
        <f>SUM(K307:K308)</f>
        <v>23846.399999999998</v>
      </c>
      <c r="L306" s="29">
        <f t="shared" ref="L306" si="107">SUM(L307:L308)</f>
        <v>0</v>
      </c>
      <c r="M306" s="29">
        <f>SUM(M307:M308)</f>
        <v>23846.399999999998</v>
      </c>
      <c r="N306" s="29">
        <f>SUM(N307:N308)</f>
        <v>23835.5</v>
      </c>
    </row>
    <row r="307" spans="1:14" s="116" customFormat="1" ht="54" x14ac:dyDescent="0.35">
      <c r="A307" s="16"/>
      <c r="B307" s="497" t="s">
        <v>53</v>
      </c>
      <c r="C307" s="28" t="s">
        <v>417</v>
      </c>
      <c r="D307" s="15" t="s">
        <v>220</v>
      </c>
      <c r="E307" s="15" t="s">
        <v>38</v>
      </c>
      <c r="F307" s="676" t="s">
        <v>38</v>
      </c>
      <c r="G307" s="677" t="s">
        <v>44</v>
      </c>
      <c r="H307" s="677" t="s">
        <v>38</v>
      </c>
      <c r="I307" s="678" t="s">
        <v>270</v>
      </c>
      <c r="J307" s="15" t="s">
        <v>54</v>
      </c>
      <c r="K307" s="29">
        <v>609.1</v>
      </c>
      <c r="L307" s="29">
        <f>M307-K307</f>
        <v>0</v>
      </c>
      <c r="M307" s="29">
        <v>609.1</v>
      </c>
      <c r="N307" s="29">
        <v>609.1</v>
      </c>
    </row>
    <row r="308" spans="1:14" s="116" customFormat="1" ht="54" x14ac:dyDescent="0.35">
      <c r="A308" s="16"/>
      <c r="B308" s="497" t="s">
        <v>74</v>
      </c>
      <c r="C308" s="28" t="s">
        <v>417</v>
      </c>
      <c r="D308" s="15" t="s">
        <v>220</v>
      </c>
      <c r="E308" s="15" t="s">
        <v>38</v>
      </c>
      <c r="F308" s="676" t="s">
        <v>38</v>
      </c>
      <c r="G308" s="677" t="s">
        <v>44</v>
      </c>
      <c r="H308" s="677" t="s">
        <v>38</v>
      </c>
      <c r="I308" s="678" t="s">
        <v>270</v>
      </c>
      <c r="J308" s="15" t="s">
        <v>75</v>
      </c>
      <c r="K308" s="29">
        <v>23237.3</v>
      </c>
      <c r="L308" s="29">
        <f>M308-K308</f>
        <v>0</v>
      </c>
      <c r="M308" s="29">
        <v>23237.3</v>
      </c>
      <c r="N308" s="29">
        <v>23226.400000000001</v>
      </c>
    </row>
    <row r="309" spans="1:14" s="120" customFormat="1" ht="180" x14ac:dyDescent="0.35">
      <c r="A309" s="16"/>
      <c r="B309" s="497" t="s">
        <v>264</v>
      </c>
      <c r="C309" s="28" t="s">
        <v>417</v>
      </c>
      <c r="D309" s="15" t="s">
        <v>220</v>
      </c>
      <c r="E309" s="15" t="s">
        <v>38</v>
      </c>
      <c r="F309" s="676" t="s">
        <v>38</v>
      </c>
      <c r="G309" s="677" t="s">
        <v>44</v>
      </c>
      <c r="H309" s="677" t="s">
        <v>38</v>
      </c>
      <c r="I309" s="678" t="s">
        <v>265</v>
      </c>
      <c r="J309" s="15"/>
      <c r="K309" s="29">
        <f>SUM(K310:K312)</f>
        <v>1527.3</v>
      </c>
      <c r="L309" s="29">
        <f t="shared" ref="L309" si="108">SUM(L310:L312)</f>
        <v>0</v>
      </c>
      <c r="M309" s="29">
        <f>SUM(M310:M312)</f>
        <v>1527.3</v>
      </c>
      <c r="N309" s="29">
        <f>SUM(N310:N312)</f>
        <v>1588.3999999999999</v>
      </c>
    </row>
    <row r="310" spans="1:14" s="120" customFormat="1" ht="108" x14ac:dyDescent="0.35">
      <c r="A310" s="16"/>
      <c r="B310" s="497" t="s">
        <v>48</v>
      </c>
      <c r="C310" s="28" t="s">
        <v>417</v>
      </c>
      <c r="D310" s="15" t="s">
        <v>220</v>
      </c>
      <c r="E310" s="15" t="s">
        <v>38</v>
      </c>
      <c r="F310" s="676" t="s">
        <v>38</v>
      </c>
      <c r="G310" s="677" t="s">
        <v>44</v>
      </c>
      <c r="H310" s="677" t="s">
        <v>38</v>
      </c>
      <c r="I310" s="678" t="s">
        <v>265</v>
      </c>
      <c r="J310" s="15" t="s">
        <v>49</v>
      </c>
      <c r="K310" s="29">
        <v>80</v>
      </c>
      <c r="L310" s="29">
        <f>M310-K310</f>
        <v>0</v>
      </c>
      <c r="M310" s="29">
        <v>80</v>
      </c>
      <c r="N310" s="29">
        <v>82.4</v>
      </c>
    </row>
    <row r="311" spans="1:14" s="120" customFormat="1" ht="36" x14ac:dyDescent="0.35">
      <c r="A311" s="16"/>
      <c r="B311" s="497" t="s">
        <v>118</v>
      </c>
      <c r="C311" s="28" t="s">
        <v>417</v>
      </c>
      <c r="D311" s="15" t="s">
        <v>220</v>
      </c>
      <c r="E311" s="15" t="s">
        <v>38</v>
      </c>
      <c r="F311" s="676" t="s">
        <v>38</v>
      </c>
      <c r="G311" s="677" t="s">
        <v>44</v>
      </c>
      <c r="H311" s="677" t="s">
        <v>38</v>
      </c>
      <c r="I311" s="678" t="s">
        <v>265</v>
      </c>
      <c r="J311" s="15" t="s">
        <v>119</v>
      </c>
      <c r="K311" s="29">
        <v>5.6</v>
      </c>
      <c r="L311" s="29">
        <f>M311-K311</f>
        <v>0</v>
      </c>
      <c r="M311" s="29">
        <v>5.6</v>
      </c>
      <c r="N311" s="29">
        <v>5.7</v>
      </c>
    </row>
    <row r="312" spans="1:14" s="120" customFormat="1" ht="54" x14ac:dyDescent="0.35">
      <c r="A312" s="16"/>
      <c r="B312" s="497" t="s">
        <v>74</v>
      </c>
      <c r="C312" s="28" t="s">
        <v>417</v>
      </c>
      <c r="D312" s="15" t="s">
        <v>220</v>
      </c>
      <c r="E312" s="15" t="s">
        <v>38</v>
      </c>
      <c r="F312" s="676" t="s">
        <v>38</v>
      </c>
      <c r="G312" s="677" t="s">
        <v>44</v>
      </c>
      <c r="H312" s="677" t="s">
        <v>38</v>
      </c>
      <c r="I312" s="678" t="s">
        <v>265</v>
      </c>
      <c r="J312" s="15" t="s">
        <v>75</v>
      </c>
      <c r="K312" s="29">
        <v>1441.7</v>
      </c>
      <c r="L312" s="29">
        <f>M312-K312</f>
        <v>0</v>
      </c>
      <c r="M312" s="29">
        <v>1441.7</v>
      </c>
      <c r="N312" s="29">
        <v>1500.3</v>
      </c>
    </row>
    <row r="313" spans="1:14" s="120" customFormat="1" ht="108" x14ac:dyDescent="0.35">
      <c r="A313" s="16"/>
      <c r="B313" s="497" t="s">
        <v>341</v>
      </c>
      <c r="C313" s="28" t="s">
        <v>417</v>
      </c>
      <c r="D313" s="15" t="s">
        <v>220</v>
      </c>
      <c r="E313" s="15" t="s">
        <v>38</v>
      </c>
      <c r="F313" s="676" t="s">
        <v>38</v>
      </c>
      <c r="G313" s="677" t="s">
        <v>44</v>
      </c>
      <c r="H313" s="677" t="s">
        <v>38</v>
      </c>
      <c r="I313" s="678" t="s">
        <v>266</v>
      </c>
      <c r="J313" s="15"/>
      <c r="K313" s="29">
        <f>K314+K315+K316</f>
        <v>520244.5</v>
      </c>
      <c r="L313" s="29">
        <f t="shared" ref="L313" si="109">L314+L315+L316</f>
        <v>0</v>
      </c>
      <c r="M313" s="29">
        <f>M314+M315+M316</f>
        <v>520244.5</v>
      </c>
      <c r="N313" s="29">
        <f>N314+N315+N316</f>
        <v>545579.30000000005</v>
      </c>
    </row>
    <row r="314" spans="1:14" s="120" customFormat="1" ht="108" x14ac:dyDescent="0.35">
      <c r="A314" s="16"/>
      <c r="B314" s="497" t="s">
        <v>48</v>
      </c>
      <c r="C314" s="28" t="s">
        <v>417</v>
      </c>
      <c r="D314" s="15" t="s">
        <v>220</v>
      </c>
      <c r="E314" s="15" t="s">
        <v>38</v>
      </c>
      <c r="F314" s="676" t="s">
        <v>38</v>
      </c>
      <c r="G314" s="677" t="s">
        <v>44</v>
      </c>
      <c r="H314" s="677" t="s">
        <v>38</v>
      </c>
      <c r="I314" s="678" t="s">
        <v>266</v>
      </c>
      <c r="J314" s="15" t="s">
        <v>49</v>
      </c>
      <c r="K314" s="29">
        <v>30000</v>
      </c>
      <c r="L314" s="29">
        <f>M314-K314</f>
        <v>0</v>
      </c>
      <c r="M314" s="29">
        <v>30000</v>
      </c>
      <c r="N314" s="29">
        <v>30000</v>
      </c>
    </row>
    <row r="315" spans="1:14" s="120" customFormat="1" ht="54" x14ac:dyDescent="0.35">
      <c r="A315" s="16"/>
      <c r="B315" s="497" t="s">
        <v>53</v>
      </c>
      <c r="C315" s="28" t="s">
        <v>417</v>
      </c>
      <c r="D315" s="15" t="s">
        <v>220</v>
      </c>
      <c r="E315" s="15" t="s">
        <v>38</v>
      </c>
      <c r="F315" s="676" t="s">
        <v>38</v>
      </c>
      <c r="G315" s="677" t="s">
        <v>44</v>
      </c>
      <c r="H315" s="677" t="s">
        <v>38</v>
      </c>
      <c r="I315" s="678" t="s">
        <v>266</v>
      </c>
      <c r="J315" s="15" t="s">
        <v>54</v>
      </c>
      <c r="K315" s="29">
        <v>2062</v>
      </c>
      <c r="L315" s="29">
        <f>M315-K315</f>
        <v>0</v>
      </c>
      <c r="M315" s="29">
        <v>2062</v>
      </c>
      <c r="N315" s="29">
        <v>2062</v>
      </c>
    </row>
    <row r="316" spans="1:14" s="120" customFormat="1" ht="54" x14ac:dyDescent="0.35">
      <c r="A316" s="16"/>
      <c r="B316" s="497" t="s">
        <v>74</v>
      </c>
      <c r="C316" s="28" t="s">
        <v>417</v>
      </c>
      <c r="D316" s="15" t="s">
        <v>220</v>
      </c>
      <c r="E316" s="15" t="s">
        <v>38</v>
      </c>
      <c r="F316" s="676" t="s">
        <v>38</v>
      </c>
      <c r="G316" s="677" t="s">
        <v>44</v>
      </c>
      <c r="H316" s="677" t="s">
        <v>38</v>
      </c>
      <c r="I316" s="678" t="s">
        <v>266</v>
      </c>
      <c r="J316" s="15" t="s">
        <v>75</v>
      </c>
      <c r="K316" s="29">
        <v>488182.5</v>
      </c>
      <c r="L316" s="29">
        <f>M316-K316</f>
        <v>0</v>
      </c>
      <c r="M316" s="29">
        <v>488182.5</v>
      </c>
      <c r="N316" s="29">
        <v>513517.3</v>
      </c>
    </row>
    <row r="317" spans="1:14" s="116" customFormat="1" ht="90" x14ac:dyDescent="0.35">
      <c r="A317" s="16"/>
      <c r="B317" s="497" t="s">
        <v>206</v>
      </c>
      <c r="C317" s="28" t="s">
        <v>417</v>
      </c>
      <c r="D317" s="15" t="s">
        <v>220</v>
      </c>
      <c r="E317" s="15" t="s">
        <v>38</v>
      </c>
      <c r="F317" s="676" t="s">
        <v>38</v>
      </c>
      <c r="G317" s="677" t="s">
        <v>44</v>
      </c>
      <c r="H317" s="677" t="s">
        <v>38</v>
      </c>
      <c r="I317" s="678" t="s">
        <v>271</v>
      </c>
      <c r="J317" s="15"/>
      <c r="K317" s="29">
        <f>SUM(K318:K319)</f>
        <v>2481.6</v>
      </c>
      <c r="L317" s="29">
        <f t="shared" ref="L317" si="110">SUM(L318:L319)</f>
        <v>0</v>
      </c>
      <c r="M317" s="29">
        <f>SUM(M318:M319)</f>
        <v>2481.6</v>
      </c>
      <c r="N317" s="29">
        <f>SUM(N318:N319)</f>
        <v>2589.2000000000003</v>
      </c>
    </row>
    <row r="318" spans="1:14" s="116" customFormat="1" ht="54" x14ac:dyDescent="0.35">
      <c r="A318" s="16"/>
      <c r="B318" s="497" t="s">
        <v>53</v>
      </c>
      <c r="C318" s="28" t="s">
        <v>417</v>
      </c>
      <c r="D318" s="15" t="s">
        <v>220</v>
      </c>
      <c r="E318" s="15" t="s">
        <v>38</v>
      </c>
      <c r="F318" s="676" t="s">
        <v>38</v>
      </c>
      <c r="G318" s="677" t="s">
        <v>44</v>
      </c>
      <c r="H318" s="677" t="s">
        <v>38</v>
      </c>
      <c r="I318" s="678" t="s">
        <v>271</v>
      </c>
      <c r="J318" s="15" t="s">
        <v>54</v>
      </c>
      <c r="K318" s="29">
        <v>106.4</v>
      </c>
      <c r="L318" s="29">
        <f>M318-K318</f>
        <v>0</v>
      </c>
      <c r="M318" s="29">
        <v>106.4</v>
      </c>
      <c r="N318" s="29">
        <v>110.3</v>
      </c>
    </row>
    <row r="319" spans="1:14" s="116" customFormat="1" ht="54" x14ac:dyDescent="0.35">
      <c r="A319" s="16"/>
      <c r="B319" s="497" t="s">
        <v>74</v>
      </c>
      <c r="C319" s="28" t="s">
        <v>417</v>
      </c>
      <c r="D319" s="15" t="s">
        <v>220</v>
      </c>
      <c r="E319" s="15" t="s">
        <v>38</v>
      </c>
      <c r="F319" s="676" t="s">
        <v>38</v>
      </c>
      <c r="G319" s="677" t="s">
        <v>44</v>
      </c>
      <c r="H319" s="677" t="s">
        <v>38</v>
      </c>
      <c r="I319" s="678" t="s">
        <v>271</v>
      </c>
      <c r="J319" s="15" t="s">
        <v>75</v>
      </c>
      <c r="K319" s="29">
        <v>2375.1999999999998</v>
      </c>
      <c r="L319" s="29">
        <f>M319-K319</f>
        <v>0</v>
      </c>
      <c r="M319" s="29">
        <v>2375.1999999999998</v>
      </c>
      <c r="N319" s="29">
        <v>2478.9</v>
      </c>
    </row>
    <row r="320" spans="1:14" s="116" customFormat="1" ht="144" x14ac:dyDescent="0.35">
      <c r="A320" s="16"/>
      <c r="B320" s="497" t="s">
        <v>508</v>
      </c>
      <c r="C320" s="28" t="s">
        <v>417</v>
      </c>
      <c r="D320" s="15" t="s">
        <v>220</v>
      </c>
      <c r="E320" s="15" t="s">
        <v>38</v>
      </c>
      <c r="F320" s="676" t="s">
        <v>38</v>
      </c>
      <c r="G320" s="677" t="s">
        <v>44</v>
      </c>
      <c r="H320" s="677" t="s">
        <v>38</v>
      </c>
      <c r="I320" s="678" t="s">
        <v>507</v>
      </c>
      <c r="J320" s="15"/>
      <c r="K320" s="29">
        <f>SUM(K321:K321)</f>
        <v>1921.1</v>
      </c>
      <c r="L320" s="29">
        <f t="shared" ref="L320" si="111">SUM(L321:L321)</f>
        <v>0</v>
      </c>
      <c r="M320" s="29">
        <f>SUM(M321:M321)</f>
        <v>1921.1</v>
      </c>
      <c r="N320" s="29">
        <f>SUM(N321:N321)</f>
        <v>1875.2</v>
      </c>
    </row>
    <row r="321" spans="1:17" s="116" customFormat="1" ht="54" x14ac:dyDescent="0.35">
      <c r="A321" s="16"/>
      <c r="B321" s="497" t="s">
        <v>74</v>
      </c>
      <c r="C321" s="28" t="s">
        <v>417</v>
      </c>
      <c r="D321" s="15" t="s">
        <v>220</v>
      </c>
      <c r="E321" s="15" t="s">
        <v>38</v>
      </c>
      <c r="F321" s="676" t="s">
        <v>38</v>
      </c>
      <c r="G321" s="677" t="s">
        <v>44</v>
      </c>
      <c r="H321" s="677" t="s">
        <v>38</v>
      </c>
      <c r="I321" s="678" t="s">
        <v>507</v>
      </c>
      <c r="J321" s="15" t="s">
        <v>75</v>
      </c>
      <c r="K321" s="29">
        <v>1921.1</v>
      </c>
      <c r="L321" s="29">
        <f>M321-K321</f>
        <v>0</v>
      </c>
      <c r="M321" s="29">
        <v>1921.1</v>
      </c>
      <c r="N321" s="29">
        <v>1875.2</v>
      </c>
    </row>
    <row r="322" spans="1:17" s="116" customFormat="1" ht="72" x14ac:dyDescent="0.35">
      <c r="A322" s="16"/>
      <c r="B322" s="497" t="s">
        <v>446</v>
      </c>
      <c r="C322" s="28" t="s">
        <v>417</v>
      </c>
      <c r="D322" s="15" t="s">
        <v>220</v>
      </c>
      <c r="E322" s="15" t="s">
        <v>38</v>
      </c>
      <c r="F322" s="676" t="s">
        <v>38</v>
      </c>
      <c r="G322" s="677" t="s">
        <v>44</v>
      </c>
      <c r="H322" s="677" t="s">
        <v>38</v>
      </c>
      <c r="I322" s="678" t="s">
        <v>445</v>
      </c>
      <c r="J322" s="15"/>
      <c r="K322" s="29">
        <f>K323+K324</f>
        <v>66931</v>
      </c>
      <c r="L322" s="29">
        <f t="shared" ref="L322" si="112">L323+L324</f>
        <v>0</v>
      </c>
      <c r="M322" s="29">
        <f>M323+M324</f>
        <v>66931</v>
      </c>
      <c r="N322" s="29">
        <f>N323+N324</f>
        <v>67036.900000000009</v>
      </c>
    </row>
    <row r="323" spans="1:17" s="116" customFormat="1" ht="54" x14ac:dyDescent="0.35">
      <c r="A323" s="16"/>
      <c r="B323" s="497" t="s">
        <v>53</v>
      </c>
      <c r="C323" s="28" t="s">
        <v>417</v>
      </c>
      <c r="D323" s="15" t="s">
        <v>220</v>
      </c>
      <c r="E323" s="15" t="s">
        <v>38</v>
      </c>
      <c r="F323" s="676" t="s">
        <v>38</v>
      </c>
      <c r="G323" s="677" t="s">
        <v>44</v>
      </c>
      <c r="H323" s="677" t="s">
        <v>38</v>
      </c>
      <c r="I323" s="678" t="s">
        <v>445</v>
      </c>
      <c r="J323" s="15" t="s">
        <v>54</v>
      </c>
      <c r="K323" s="29">
        <v>1760.3</v>
      </c>
      <c r="L323" s="29">
        <f>M323-K323</f>
        <v>0</v>
      </c>
      <c r="M323" s="29">
        <v>1760.3</v>
      </c>
      <c r="N323" s="29">
        <v>1763.1</v>
      </c>
    </row>
    <row r="324" spans="1:17" s="116" customFormat="1" ht="54" x14ac:dyDescent="0.35">
      <c r="A324" s="16"/>
      <c r="B324" s="497" t="s">
        <v>74</v>
      </c>
      <c r="C324" s="28" t="s">
        <v>417</v>
      </c>
      <c r="D324" s="15" t="s">
        <v>220</v>
      </c>
      <c r="E324" s="15" t="s">
        <v>38</v>
      </c>
      <c r="F324" s="676" t="s">
        <v>38</v>
      </c>
      <c r="G324" s="677" t="s">
        <v>44</v>
      </c>
      <c r="H324" s="677" t="s">
        <v>38</v>
      </c>
      <c r="I324" s="678" t="s">
        <v>445</v>
      </c>
      <c r="J324" s="15" t="s">
        <v>75</v>
      </c>
      <c r="K324" s="29">
        <v>65170.7</v>
      </c>
      <c r="L324" s="29">
        <f>M324-K324</f>
        <v>0</v>
      </c>
      <c r="M324" s="29">
        <v>65170.7</v>
      </c>
      <c r="N324" s="29">
        <v>65273.8</v>
      </c>
      <c r="Q324" s="183"/>
    </row>
    <row r="325" spans="1:17" s="116" customFormat="1" ht="252" x14ac:dyDescent="0.35">
      <c r="A325" s="16"/>
      <c r="B325" s="497" t="s">
        <v>693</v>
      </c>
      <c r="C325" s="28" t="s">
        <v>417</v>
      </c>
      <c r="D325" s="15" t="s">
        <v>220</v>
      </c>
      <c r="E325" s="15" t="s">
        <v>38</v>
      </c>
      <c r="F325" s="676" t="s">
        <v>38</v>
      </c>
      <c r="G325" s="677" t="s">
        <v>44</v>
      </c>
      <c r="H325" s="677" t="s">
        <v>38</v>
      </c>
      <c r="I325" s="678" t="s">
        <v>631</v>
      </c>
      <c r="J325" s="15"/>
      <c r="K325" s="29">
        <f>K326+K327</f>
        <v>35544.6</v>
      </c>
      <c r="L325" s="29">
        <f t="shared" ref="L325" si="113">L326+L327</f>
        <v>0</v>
      </c>
      <c r="M325" s="29">
        <f>M326+M327</f>
        <v>35544.6</v>
      </c>
      <c r="N325" s="29">
        <f>N326+N327</f>
        <v>35544.6</v>
      </c>
    </row>
    <row r="326" spans="1:17" s="116" customFormat="1" ht="108" x14ac:dyDescent="0.35">
      <c r="A326" s="16"/>
      <c r="B326" s="497" t="s">
        <v>48</v>
      </c>
      <c r="C326" s="28" t="s">
        <v>417</v>
      </c>
      <c r="D326" s="15" t="s">
        <v>220</v>
      </c>
      <c r="E326" s="15" t="s">
        <v>38</v>
      </c>
      <c r="F326" s="676" t="s">
        <v>38</v>
      </c>
      <c r="G326" s="677" t="s">
        <v>44</v>
      </c>
      <c r="H326" s="677" t="s">
        <v>38</v>
      </c>
      <c r="I326" s="678" t="s">
        <v>631</v>
      </c>
      <c r="J326" s="15" t="s">
        <v>49</v>
      </c>
      <c r="K326" s="29">
        <v>2968.6</v>
      </c>
      <c r="L326" s="29">
        <f>M326-K326</f>
        <v>0</v>
      </c>
      <c r="M326" s="29">
        <v>2968.6</v>
      </c>
      <c r="N326" s="29">
        <v>2968.6</v>
      </c>
    </row>
    <row r="327" spans="1:17" s="116" customFormat="1" ht="54" x14ac:dyDescent="0.35">
      <c r="A327" s="16"/>
      <c r="B327" s="497" t="s">
        <v>74</v>
      </c>
      <c r="C327" s="28" t="s">
        <v>417</v>
      </c>
      <c r="D327" s="15" t="s">
        <v>220</v>
      </c>
      <c r="E327" s="15" t="s">
        <v>38</v>
      </c>
      <c r="F327" s="676" t="s">
        <v>38</v>
      </c>
      <c r="G327" s="677" t="s">
        <v>44</v>
      </c>
      <c r="H327" s="677" t="s">
        <v>38</v>
      </c>
      <c r="I327" s="678" t="s">
        <v>631</v>
      </c>
      <c r="J327" s="15" t="s">
        <v>75</v>
      </c>
      <c r="K327" s="29">
        <v>32576</v>
      </c>
      <c r="L327" s="29">
        <f>M327-K327</f>
        <v>0</v>
      </c>
      <c r="M327" s="29">
        <v>32576</v>
      </c>
      <c r="N327" s="29">
        <v>32576</v>
      </c>
    </row>
    <row r="328" spans="1:17" s="116" customFormat="1" ht="72" x14ac:dyDescent="0.35">
      <c r="A328" s="16"/>
      <c r="B328" s="497" t="s">
        <v>694</v>
      </c>
      <c r="C328" s="28" t="s">
        <v>417</v>
      </c>
      <c r="D328" s="15" t="s">
        <v>220</v>
      </c>
      <c r="E328" s="15" t="s">
        <v>38</v>
      </c>
      <c r="F328" s="676" t="s">
        <v>38</v>
      </c>
      <c r="G328" s="677" t="s">
        <v>44</v>
      </c>
      <c r="H328" s="677" t="s">
        <v>38</v>
      </c>
      <c r="I328" s="678" t="s">
        <v>505</v>
      </c>
      <c r="J328" s="15"/>
      <c r="K328" s="29">
        <f>K329+K330+K331</f>
        <v>13206.800000000001</v>
      </c>
      <c r="L328" s="29">
        <f t="shared" ref="L328" si="114">L329+L330+L331</f>
        <v>0</v>
      </c>
      <c r="M328" s="29">
        <f>M329+M330+M331</f>
        <v>13206.800000000001</v>
      </c>
      <c r="N328" s="29">
        <f>N329+N330+N331</f>
        <v>13018.800000000001</v>
      </c>
      <c r="Q328" s="183"/>
    </row>
    <row r="329" spans="1:17" s="116" customFormat="1" ht="54" x14ac:dyDescent="0.35">
      <c r="A329" s="16"/>
      <c r="B329" s="497" t="s">
        <v>53</v>
      </c>
      <c r="C329" s="28" t="s">
        <v>417</v>
      </c>
      <c r="D329" s="15" t="s">
        <v>220</v>
      </c>
      <c r="E329" s="15" t="s">
        <v>38</v>
      </c>
      <c r="F329" s="676" t="s">
        <v>38</v>
      </c>
      <c r="G329" s="677" t="s">
        <v>44</v>
      </c>
      <c r="H329" s="677" t="s">
        <v>38</v>
      </c>
      <c r="I329" s="678" t="s">
        <v>505</v>
      </c>
      <c r="J329" s="15" t="s">
        <v>54</v>
      </c>
      <c r="K329" s="29">
        <v>129.6</v>
      </c>
      <c r="L329" s="29">
        <f>M329-K329</f>
        <v>0</v>
      </c>
      <c r="M329" s="29">
        <v>129.6</v>
      </c>
      <c r="N329" s="29">
        <v>107.7</v>
      </c>
      <c r="Q329" s="183"/>
    </row>
    <row r="330" spans="1:17" s="116" customFormat="1" ht="36" x14ac:dyDescent="0.35">
      <c r="A330" s="16"/>
      <c r="B330" s="497" t="s">
        <v>118</v>
      </c>
      <c r="C330" s="28" t="s">
        <v>417</v>
      </c>
      <c r="D330" s="15" t="s">
        <v>220</v>
      </c>
      <c r="E330" s="15" t="s">
        <v>38</v>
      </c>
      <c r="F330" s="676" t="s">
        <v>38</v>
      </c>
      <c r="G330" s="677" t="s">
        <v>44</v>
      </c>
      <c r="H330" s="677" t="s">
        <v>38</v>
      </c>
      <c r="I330" s="678" t="s">
        <v>505</v>
      </c>
      <c r="J330" s="15" t="s">
        <v>119</v>
      </c>
      <c r="K330" s="29">
        <v>104.1</v>
      </c>
      <c r="L330" s="29">
        <f>M330-K330</f>
        <v>0</v>
      </c>
      <c r="M330" s="29">
        <v>104.1</v>
      </c>
      <c r="N330" s="29">
        <v>111.9</v>
      </c>
      <c r="Q330" s="183"/>
    </row>
    <row r="331" spans="1:17" s="116" customFormat="1" ht="54" x14ac:dyDescent="0.35">
      <c r="A331" s="16"/>
      <c r="B331" s="497" t="s">
        <v>74</v>
      </c>
      <c r="C331" s="28" t="s">
        <v>417</v>
      </c>
      <c r="D331" s="15" t="s">
        <v>220</v>
      </c>
      <c r="E331" s="15" t="s">
        <v>38</v>
      </c>
      <c r="F331" s="676" t="s">
        <v>38</v>
      </c>
      <c r="G331" s="677" t="s">
        <v>44</v>
      </c>
      <c r="H331" s="677" t="s">
        <v>38</v>
      </c>
      <c r="I331" s="678" t="s">
        <v>505</v>
      </c>
      <c r="J331" s="15" t="s">
        <v>75</v>
      </c>
      <c r="K331" s="29">
        <v>12973.1</v>
      </c>
      <c r="L331" s="29">
        <f>M331-K331</f>
        <v>0</v>
      </c>
      <c r="M331" s="29">
        <v>12973.1</v>
      </c>
      <c r="N331" s="29">
        <v>12799.2</v>
      </c>
      <c r="Q331" s="183"/>
    </row>
    <row r="332" spans="1:17" s="116" customFormat="1" ht="36" x14ac:dyDescent="0.35">
      <c r="A332" s="16"/>
      <c r="B332" s="497" t="s">
        <v>614</v>
      </c>
      <c r="C332" s="28" t="s">
        <v>417</v>
      </c>
      <c r="D332" s="15" t="s">
        <v>220</v>
      </c>
      <c r="E332" s="15" t="s">
        <v>38</v>
      </c>
      <c r="F332" s="676" t="s">
        <v>38</v>
      </c>
      <c r="G332" s="677" t="s">
        <v>44</v>
      </c>
      <c r="H332" s="677" t="s">
        <v>615</v>
      </c>
      <c r="I332" s="678" t="s">
        <v>43</v>
      </c>
      <c r="J332" s="15"/>
      <c r="K332" s="29">
        <f>K333</f>
        <v>5745.9</v>
      </c>
      <c r="L332" s="29">
        <f t="shared" ref="L332" si="115">L333</f>
        <v>0</v>
      </c>
      <c r="M332" s="29">
        <f>M333</f>
        <v>5745.9</v>
      </c>
      <c r="N332" s="29">
        <f>N333</f>
        <v>6946.4000000000005</v>
      </c>
      <c r="Q332" s="183"/>
    </row>
    <row r="333" spans="1:17" s="116" customFormat="1" ht="90" x14ac:dyDescent="0.35">
      <c r="A333" s="16"/>
      <c r="B333" s="497" t="s">
        <v>616</v>
      </c>
      <c r="C333" s="28" t="s">
        <v>417</v>
      </c>
      <c r="D333" s="15" t="s">
        <v>220</v>
      </c>
      <c r="E333" s="15" t="s">
        <v>38</v>
      </c>
      <c r="F333" s="676" t="s">
        <v>38</v>
      </c>
      <c r="G333" s="677" t="s">
        <v>44</v>
      </c>
      <c r="H333" s="677" t="s">
        <v>615</v>
      </c>
      <c r="I333" s="678" t="s">
        <v>617</v>
      </c>
      <c r="J333" s="15"/>
      <c r="K333" s="29">
        <f>K334+K335</f>
        <v>5745.9</v>
      </c>
      <c r="L333" s="29">
        <f t="shared" ref="L333" si="116">L334+L335</f>
        <v>0</v>
      </c>
      <c r="M333" s="29">
        <f>M334+M335</f>
        <v>5745.9</v>
      </c>
      <c r="N333" s="29">
        <f>N334+N335</f>
        <v>6946.4000000000005</v>
      </c>
      <c r="Q333" s="183"/>
    </row>
    <row r="334" spans="1:17" s="116" customFormat="1" ht="108" x14ac:dyDescent="0.35">
      <c r="A334" s="16"/>
      <c r="B334" s="497" t="s">
        <v>48</v>
      </c>
      <c r="C334" s="28" t="s">
        <v>417</v>
      </c>
      <c r="D334" s="15" t="s">
        <v>220</v>
      </c>
      <c r="E334" s="15" t="s">
        <v>38</v>
      </c>
      <c r="F334" s="676" t="s">
        <v>38</v>
      </c>
      <c r="G334" s="677" t="s">
        <v>44</v>
      </c>
      <c r="H334" s="677" t="s">
        <v>615</v>
      </c>
      <c r="I334" s="678" t="s">
        <v>617</v>
      </c>
      <c r="J334" s="15" t="s">
        <v>49</v>
      </c>
      <c r="K334" s="29">
        <v>420.4</v>
      </c>
      <c r="L334" s="29">
        <f>M334-K334</f>
        <v>0</v>
      </c>
      <c r="M334" s="29">
        <v>420.4</v>
      </c>
      <c r="N334" s="29">
        <v>508.3</v>
      </c>
      <c r="Q334" s="183"/>
    </row>
    <row r="335" spans="1:17" s="116" customFormat="1" ht="54" x14ac:dyDescent="0.35">
      <c r="A335" s="16"/>
      <c r="B335" s="497" t="s">
        <v>74</v>
      </c>
      <c r="C335" s="28" t="s">
        <v>417</v>
      </c>
      <c r="D335" s="15" t="s">
        <v>220</v>
      </c>
      <c r="E335" s="15" t="s">
        <v>38</v>
      </c>
      <c r="F335" s="676" t="s">
        <v>38</v>
      </c>
      <c r="G335" s="677" t="s">
        <v>44</v>
      </c>
      <c r="H335" s="677" t="s">
        <v>615</v>
      </c>
      <c r="I335" s="678" t="s">
        <v>617</v>
      </c>
      <c r="J335" s="15" t="s">
        <v>75</v>
      </c>
      <c r="K335" s="29">
        <v>5325.5</v>
      </c>
      <c r="L335" s="29">
        <f>M335-K335</f>
        <v>0</v>
      </c>
      <c r="M335" s="29">
        <v>5325.5</v>
      </c>
      <c r="N335" s="29">
        <v>6438.1</v>
      </c>
      <c r="Q335" s="183"/>
    </row>
    <row r="336" spans="1:17" s="120" customFormat="1" ht="54" x14ac:dyDescent="0.35">
      <c r="A336" s="16"/>
      <c r="B336" s="497" t="s">
        <v>209</v>
      </c>
      <c r="C336" s="28" t="s">
        <v>417</v>
      </c>
      <c r="D336" s="15" t="s">
        <v>220</v>
      </c>
      <c r="E336" s="15" t="s">
        <v>38</v>
      </c>
      <c r="F336" s="676" t="s">
        <v>38</v>
      </c>
      <c r="G336" s="677" t="s">
        <v>29</v>
      </c>
      <c r="H336" s="677" t="s">
        <v>42</v>
      </c>
      <c r="I336" s="678" t="s">
        <v>43</v>
      </c>
      <c r="J336" s="15"/>
      <c r="K336" s="29">
        <f t="shared" ref="K336:N337" si="117">K337</f>
        <v>2291.5</v>
      </c>
      <c r="L336" s="29">
        <f t="shared" si="117"/>
        <v>0</v>
      </c>
      <c r="M336" s="29">
        <f t="shared" si="117"/>
        <v>2291.5</v>
      </c>
      <c r="N336" s="29">
        <f t="shared" si="117"/>
        <v>2262.3000000000002</v>
      </c>
    </row>
    <row r="337" spans="1:14" s="120" customFormat="1" ht="36" x14ac:dyDescent="0.35">
      <c r="A337" s="16"/>
      <c r="B337" s="497" t="s">
        <v>278</v>
      </c>
      <c r="C337" s="28" t="s">
        <v>417</v>
      </c>
      <c r="D337" s="15" t="s">
        <v>220</v>
      </c>
      <c r="E337" s="15" t="s">
        <v>38</v>
      </c>
      <c r="F337" s="676" t="s">
        <v>38</v>
      </c>
      <c r="G337" s="677" t="s">
        <v>29</v>
      </c>
      <c r="H337" s="677" t="s">
        <v>36</v>
      </c>
      <c r="I337" s="678" t="s">
        <v>43</v>
      </c>
      <c r="J337" s="15"/>
      <c r="K337" s="29">
        <f t="shared" si="117"/>
        <v>2291.5</v>
      </c>
      <c r="L337" s="29">
        <f t="shared" si="117"/>
        <v>0</v>
      </c>
      <c r="M337" s="29">
        <f t="shared" si="117"/>
        <v>2291.5</v>
      </c>
      <c r="N337" s="29">
        <f t="shared" si="117"/>
        <v>2262.3000000000002</v>
      </c>
    </row>
    <row r="338" spans="1:14" s="120" customFormat="1" ht="252" x14ac:dyDescent="0.35">
      <c r="A338" s="16"/>
      <c r="B338" s="497" t="s">
        <v>426</v>
      </c>
      <c r="C338" s="28" t="s">
        <v>417</v>
      </c>
      <c r="D338" s="15" t="s">
        <v>220</v>
      </c>
      <c r="E338" s="15" t="s">
        <v>38</v>
      </c>
      <c r="F338" s="676" t="s">
        <v>38</v>
      </c>
      <c r="G338" s="677" t="s">
        <v>29</v>
      </c>
      <c r="H338" s="677" t="s">
        <v>36</v>
      </c>
      <c r="I338" s="678" t="s">
        <v>342</v>
      </c>
      <c r="J338" s="15"/>
      <c r="K338" s="29">
        <f>SUM(K339:K339)</f>
        <v>2291.5</v>
      </c>
      <c r="L338" s="29">
        <f t="shared" ref="L338" si="118">SUM(L339:L339)</f>
        <v>0</v>
      </c>
      <c r="M338" s="29">
        <f>SUM(M339:M339)</f>
        <v>2291.5</v>
      </c>
      <c r="N338" s="29">
        <f>SUM(N339:N339)</f>
        <v>2262.3000000000002</v>
      </c>
    </row>
    <row r="339" spans="1:14" s="120" customFormat="1" ht="54" x14ac:dyDescent="0.35">
      <c r="A339" s="16"/>
      <c r="B339" s="497" t="s">
        <v>74</v>
      </c>
      <c r="C339" s="28" t="s">
        <v>417</v>
      </c>
      <c r="D339" s="15" t="s">
        <v>220</v>
      </c>
      <c r="E339" s="15" t="s">
        <v>38</v>
      </c>
      <c r="F339" s="676" t="s">
        <v>38</v>
      </c>
      <c r="G339" s="677" t="s">
        <v>29</v>
      </c>
      <c r="H339" s="677" t="s">
        <v>36</v>
      </c>
      <c r="I339" s="678" t="s">
        <v>342</v>
      </c>
      <c r="J339" s="15" t="s">
        <v>75</v>
      </c>
      <c r="K339" s="29">
        <v>2291.5</v>
      </c>
      <c r="L339" s="29">
        <f>M339-K339</f>
        <v>0</v>
      </c>
      <c r="M339" s="29">
        <v>2291.5</v>
      </c>
      <c r="N339" s="29">
        <v>2262.3000000000002</v>
      </c>
    </row>
    <row r="340" spans="1:14" s="120" customFormat="1" ht="18" x14ac:dyDescent="0.35">
      <c r="A340" s="16"/>
      <c r="B340" s="497" t="s">
        <v>345</v>
      </c>
      <c r="C340" s="28" t="s">
        <v>417</v>
      </c>
      <c r="D340" s="15" t="s">
        <v>220</v>
      </c>
      <c r="E340" s="15" t="s">
        <v>61</v>
      </c>
      <c r="F340" s="676"/>
      <c r="G340" s="677"/>
      <c r="H340" s="677"/>
      <c r="I340" s="678"/>
      <c r="J340" s="15"/>
      <c r="K340" s="29">
        <f>K341</f>
        <v>62387.199999999997</v>
      </c>
      <c r="L340" s="29">
        <f t="shared" ref="L340" si="119">L341</f>
        <v>0</v>
      </c>
      <c r="M340" s="29">
        <f>M341</f>
        <v>62387.199999999997</v>
      </c>
      <c r="N340" s="29">
        <f>N341</f>
        <v>61490</v>
      </c>
    </row>
    <row r="341" spans="1:14" s="120" customFormat="1" ht="54" x14ac:dyDescent="0.35">
      <c r="A341" s="16"/>
      <c r="B341" s="564" t="s">
        <v>202</v>
      </c>
      <c r="C341" s="28" t="s">
        <v>417</v>
      </c>
      <c r="D341" s="15" t="s">
        <v>220</v>
      </c>
      <c r="E341" s="15" t="s">
        <v>61</v>
      </c>
      <c r="F341" s="676" t="s">
        <v>38</v>
      </c>
      <c r="G341" s="677" t="s">
        <v>41</v>
      </c>
      <c r="H341" s="677" t="s">
        <v>42</v>
      </c>
      <c r="I341" s="678" t="s">
        <v>43</v>
      </c>
      <c r="J341" s="15"/>
      <c r="K341" s="29">
        <f t="shared" ref="K341:N342" si="120">K342</f>
        <v>62387.199999999997</v>
      </c>
      <c r="L341" s="29">
        <f t="shared" si="120"/>
        <v>0</v>
      </c>
      <c r="M341" s="29">
        <f t="shared" si="120"/>
        <v>62387.199999999997</v>
      </c>
      <c r="N341" s="29">
        <f t="shared" si="120"/>
        <v>61490</v>
      </c>
    </row>
    <row r="342" spans="1:14" s="120" customFormat="1" ht="18" x14ac:dyDescent="0.35">
      <c r="A342" s="16"/>
      <c r="B342" s="497" t="s">
        <v>207</v>
      </c>
      <c r="C342" s="28" t="s">
        <v>417</v>
      </c>
      <c r="D342" s="15" t="s">
        <v>220</v>
      </c>
      <c r="E342" s="15" t="s">
        <v>61</v>
      </c>
      <c r="F342" s="676" t="s">
        <v>38</v>
      </c>
      <c r="G342" s="677" t="s">
        <v>87</v>
      </c>
      <c r="H342" s="677" t="s">
        <v>42</v>
      </c>
      <c r="I342" s="678" t="s">
        <v>43</v>
      </c>
      <c r="J342" s="15"/>
      <c r="K342" s="29">
        <f t="shared" si="120"/>
        <v>62387.199999999997</v>
      </c>
      <c r="L342" s="29">
        <f t="shared" si="120"/>
        <v>0</v>
      </c>
      <c r="M342" s="29">
        <f t="shared" si="120"/>
        <v>62387.199999999997</v>
      </c>
      <c r="N342" s="29">
        <f t="shared" si="120"/>
        <v>61490</v>
      </c>
    </row>
    <row r="343" spans="1:14" s="120" customFormat="1" ht="36" x14ac:dyDescent="0.35">
      <c r="A343" s="16"/>
      <c r="B343" s="497" t="s">
        <v>272</v>
      </c>
      <c r="C343" s="28" t="s">
        <v>417</v>
      </c>
      <c r="D343" s="15" t="s">
        <v>220</v>
      </c>
      <c r="E343" s="15" t="s">
        <v>61</v>
      </c>
      <c r="F343" s="676" t="s">
        <v>38</v>
      </c>
      <c r="G343" s="677" t="s">
        <v>87</v>
      </c>
      <c r="H343" s="677" t="s">
        <v>36</v>
      </c>
      <c r="I343" s="678" t="s">
        <v>43</v>
      </c>
      <c r="J343" s="15"/>
      <c r="K343" s="29">
        <f>K344+K353+K355+K346+K348+K350</f>
        <v>62387.199999999997</v>
      </c>
      <c r="L343" s="29">
        <f t="shared" ref="L343" si="121">L344+L353+L355+L346+L348+L350</f>
        <v>0</v>
      </c>
      <c r="M343" s="29">
        <f>M344+M353+M355+M346+M348+M350</f>
        <v>62387.199999999997</v>
      </c>
      <c r="N343" s="29">
        <f>N344+N353+N355+N346+N348+N350</f>
        <v>61490</v>
      </c>
    </row>
    <row r="344" spans="1:14" s="120" customFormat="1" ht="36" x14ac:dyDescent="0.35">
      <c r="A344" s="16"/>
      <c r="B344" s="573" t="s">
        <v>454</v>
      </c>
      <c r="C344" s="28" t="s">
        <v>417</v>
      </c>
      <c r="D344" s="15" t="s">
        <v>220</v>
      </c>
      <c r="E344" s="15" t="s">
        <v>61</v>
      </c>
      <c r="F344" s="676" t="s">
        <v>38</v>
      </c>
      <c r="G344" s="677" t="s">
        <v>87</v>
      </c>
      <c r="H344" s="677" t="s">
        <v>36</v>
      </c>
      <c r="I344" s="678" t="s">
        <v>89</v>
      </c>
      <c r="J344" s="15"/>
      <c r="K344" s="29">
        <f>K345</f>
        <v>38846</v>
      </c>
      <c r="L344" s="29">
        <f t="shared" ref="L344" si="122">L345</f>
        <v>0</v>
      </c>
      <c r="M344" s="29">
        <f>M345</f>
        <v>38846</v>
      </c>
      <c r="N344" s="29">
        <f>N345</f>
        <v>38922.800000000003</v>
      </c>
    </row>
    <row r="345" spans="1:14" s="120" customFormat="1" ht="54" x14ac:dyDescent="0.35">
      <c r="A345" s="16"/>
      <c r="B345" s="497" t="s">
        <v>74</v>
      </c>
      <c r="C345" s="28" t="s">
        <v>417</v>
      </c>
      <c r="D345" s="15" t="s">
        <v>220</v>
      </c>
      <c r="E345" s="15" t="s">
        <v>61</v>
      </c>
      <c r="F345" s="676" t="s">
        <v>38</v>
      </c>
      <c r="G345" s="677" t="s">
        <v>87</v>
      </c>
      <c r="H345" s="677" t="s">
        <v>36</v>
      </c>
      <c r="I345" s="678" t="s">
        <v>89</v>
      </c>
      <c r="J345" s="15" t="s">
        <v>75</v>
      </c>
      <c r="K345" s="29">
        <v>38846</v>
      </c>
      <c r="L345" s="29">
        <f>M345-K345</f>
        <v>0</v>
      </c>
      <c r="M345" s="29">
        <v>38846</v>
      </c>
      <c r="N345" s="29">
        <v>38922.800000000003</v>
      </c>
    </row>
    <row r="346" spans="1:14" s="120" customFormat="1" ht="54" x14ac:dyDescent="0.35">
      <c r="A346" s="16"/>
      <c r="B346" s="497" t="s">
        <v>204</v>
      </c>
      <c r="C346" s="28" t="s">
        <v>417</v>
      </c>
      <c r="D346" s="15" t="s">
        <v>220</v>
      </c>
      <c r="E346" s="15" t="s">
        <v>61</v>
      </c>
      <c r="F346" s="676" t="s">
        <v>38</v>
      </c>
      <c r="G346" s="677" t="s">
        <v>87</v>
      </c>
      <c r="H346" s="677" t="s">
        <v>36</v>
      </c>
      <c r="I346" s="678" t="s">
        <v>269</v>
      </c>
      <c r="J346" s="15"/>
      <c r="K346" s="29">
        <f>K347</f>
        <v>4254.1000000000004</v>
      </c>
      <c r="L346" s="29">
        <f t="shared" ref="L346" si="123">L347</f>
        <v>0</v>
      </c>
      <c r="M346" s="29">
        <f>M347</f>
        <v>4254.1000000000004</v>
      </c>
      <c r="N346" s="29">
        <f>N347</f>
        <v>3275.6</v>
      </c>
    </row>
    <row r="347" spans="1:14" s="120" customFormat="1" ht="54" x14ac:dyDescent="0.35">
      <c r="A347" s="16"/>
      <c r="B347" s="564" t="s">
        <v>74</v>
      </c>
      <c r="C347" s="28" t="s">
        <v>417</v>
      </c>
      <c r="D347" s="15" t="s">
        <v>220</v>
      </c>
      <c r="E347" s="15" t="s">
        <v>61</v>
      </c>
      <c r="F347" s="676" t="s">
        <v>38</v>
      </c>
      <c r="G347" s="677" t="s">
        <v>87</v>
      </c>
      <c r="H347" s="677" t="s">
        <v>36</v>
      </c>
      <c r="I347" s="678" t="s">
        <v>269</v>
      </c>
      <c r="J347" s="15" t="s">
        <v>75</v>
      </c>
      <c r="K347" s="29">
        <v>4254.1000000000004</v>
      </c>
      <c r="L347" s="29">
        <f>M347-K347</f>
        <v>0</v>
      </c>
      <c r="M347" s="29">
        <v>4254.1000000000004</v>
      </c>
      <c r="N347" s="29">
        <v>3275.6</v>
      </c>
    </row>
    <row r="348" spans="1:14" s="120" customFormat="1" ht="36" x14ac:dyDescent="0.35">
      <c r="A348" s="16"/>
      <c r="B348" s="497" t="s">
        <v>205</v>
      </c>
      <c r="C348" s="28" t="s">
        <v>417</v>
      </c>
      <c r="D348" s="15" t="s">
        <v>220</v>
      </c>
      <c r="E348" s="15" t="s">
        <v>61</v>
      </c>
      <c r="F348" s="676" t="s">
        <v>38</v>
      </c>
      <c r="G348" s="677" t="s">
        <v>87</v>
      </c>
      <c r="H348" s="677" t="s">
        <v>36</v>
      </c>
      <c r="I348" s="678" t="s">
        <v>270</v>
      </c>
      <c r="J348" s="15"/>
      <c r="K348" s="29">
        <f>K349</f>
        <v>46.9</v>
      </c>
      <c r="L348" s="29">
        <f t="shared" ref="L348" si="124">L349</f>
        <v>0</v>
      </c>
      <c r="M348" s="29">
        <f>M349</f>
        <v>46.9</v>
      </c>
      <c r="N348" s="29">
        <f>N349</f>
        <v>46.9</v>
      </c>
    </row>
    <row r="349" spans="1:14" s="120" customFormat="1" ht="54" x14ac:dyDescent="0.35">
      <c r="A349" s="16"/>
      <c r="B349" s="564" t="s">
        <v>74</v>
      </c>
      <c r="C349" s="28" t="s">
        <v>417</v>
      </c>
      <c r="D349" s="15" t="s">
        <v>220</v>
      </c>
      <c r="E349" s="15" t="s">
        <v>61</v>
      </c>
      <c r="F349" s="676" t="s">
        <v>38</v>
      </c>
      <c r="G349" s="677" t="s">
        <v>87</v>
      </c>
      <c r="H349" s="677" t="s">
        <v>36</v>
      </c>
      <c r="I349" s="678" t="s">
        <v>270</v>
      </c>
      <c r="J349" s="15" t="s">
        <v>75</v>
      </c>
      <c r="K349" s="29">
        <f>46.9</f>
        <v>46.9</v>
      </c>
      <c r="L349" s="29">
        <f>M349-K349</f>
        <v>0</v>
      </c>
      <c r="M349" s="29">
        <f>46.9</f>
        <v>46.9</v>
      </c>
      <c r="N349" s="29">
        <v>46.9</v>
      </c>
    </row>
    <row r="350" spans="1:14" s="120" customFormat="1" ht="54" x14ac:dyDescent="0.35">
      <c r="A350" s="16"/>
      <c r="B350" s="564" t="s">
        <v>624</v>
      </c>
      <c r="C350" s="28" t="s">
        <v>417</v>
      </c>
      <c r="D350" s="15" t="s">
        <v>220</v>
      </c>
      <c r="E350" s="15" t="s">
        <v>61</v>
      </c>
      <c r="F350" s="676" t="s">
        <v>38</v>
      </c>
      <c r="G350" s="677" t="s">
        <v>87</v>
      </c>
      <c r="H350" s="677" t="s">
        <v>36</v>
      </c>
      <c r="I350" s="678" t="s">
        <v>625</v>
      </c>
      <c r="J350" s="15"/>
      <c r="K350" s="29">
        <f>K351+K352</f>
        <v>6127.5</v>
      </c>
      <c r="L350" s="29">
        <f t="shared" ref="L350" si="125">L351+L352</f>
        <v>0</v>
      </c>
      <c r="M350" s="29">
        <f>M351+M352</f>
        <v>6127.5</v>
      </c>
      <c r="N350" s="29">
        <f>N351+N352</f>
        <v>6127.5</v>
      </c>
    </row>
    <row r="351" spans="1:14" s="120" customFormat="1" ht="54" x14ac:dyDescent="0.35">
      <c r="A351" s="16"/>
      <c r="B351" s="564" t="s">
        <v>74</v>
      </c>
      <c r="C351" s="28" t="s">
        <v>417</v>
      </c>
      <c r="D351" s="15" t="s">
        <v>220</v>
      </c>
      <c r="E351" s="15" t="s">
        <v>61</v>
      </c>
      <c r="F351" s="676" t="s">
        <v>38</v>
      </c>
      <c r="G351" s="677" t="s">
        <v>87</v>
      </c>
      <c r="H351" s="677" t="s">
        <v>36</v>
      </c>
      <c r="I351" s="678" t="s">
        <v>625</v>
      </c>
      <c r="J351" s="15" t="s">
        <v>75</v>
      </c>
      <c r="K351" s="29">
        <v>6072.6</v>
      </c>
      <c r="L351" s="29">
        <f>M351-K351</f>
        <v>0</v>
      </c>
      <c r="M351" s="29">
        <v>6072.6</v>
      </c>
      <c r="N351" s="29">
        <v>6072.6</v>
      </c>
    </row>
    <row r="352" spans="1:14" s="120" customFormat="1" ht="18" x14ac:dyDescent="0.35">
      <c r="A352" s="16"/>
      <c r="B352" s="564" t="s">
        <v>55</v>
      </c>
      <c r="C352" s="28" t="s">
        <v>417</v>
      </c>
      <c r="D352" s="15" t="s">
        <v>220</v>
      </c>
      <c r="E352" s="15" t="s">
        <v>61</v>
      </c>
      <c r="F352" s="676" t="s">
        <v>38</v>
      </c>
      <c r="G352" s="677" t="s">
        <v>87</v>
      </c>
      <c r="H352" s="677" t="s">
        <v>36</v>
      </c>
      <c r="I352" s="678" t="s">
        <v>625</v>
      </c>
      <c r="J352" s="15" t="s">
        <v>56</v>
      </c>
      <c r="K352" s="29">
        <v>54.9</v>
      </c>
      <c r="L352" s="29">
        <f>M352-K352</f>
        <v>0</v>
      </c>
      <c r="M352" s="29">
        <v>54.9</v>
      </c>
      <c r="N352" s="29">
        <v>54.9</v>
      </c>
    </row>
    <row r="353" spans="1:14" s="120" customFormat="1" ht="180" x14ac:dyDescent="0.35">
      <c r="A353" s="16"/>
      <c r="B353" s="497" t="s">
        <v>264</v>
      </c>
      <c r="C353" s="28" t="s">
        <v>417</v>
      </c>
      <c r="D353" s="15" t="s">
        <v>220</v>
      </c>
      <c r="E353" s="15" t="s">
        <v>61</v>
      </c>
      <c r="F353" s="676" t="s">
        <v>38</v>
      </c>
      <c r="G353" s="677" t="s">
        <v>87</v>
      </c>
      <c r="H353" s="677" t="s">
        <v>36</v>
      </c>
      <c r="I353" s="678" t="s">
        <v>265</v>
      </c>
      <c r="J353" s="15"/>
      <c r="K353" s="29">
        <f>K354</f>
        <v>112.7</v>
      </c>
      <c r="L353" s="29">
        <f t="shared" ref="L353" si="126">L354</f>
        <v>0</v>
      </c>
      <c r="M353" s="29">
        <f>M354</f>
        <v>112.7</v>
      </c>
      <c r="N353" s="29">
        <f>N354</f>
        <v>117.2</v>
      </c>
    </row>
    <row r="354" spans="1:14" s="120" customFormat="1" ht="54" x14ac:dyDescent="0.35">
      <c r="A354" s="16"/>
      <c r="B354" s="497" t="s">
        <v>74</v>
      </c>
      <c r="C354" s="28" t="s">
        <v>417</v>
      </c>
      <c r="D354" s="15" t="s">
        <v>220</v>
      </c>
      <c r="E354" s="15" t="s">
        <v>61</v>
      </c>
      <c r="F354" s="676" t="s">
        <v>38</v>
      </c>
      <c r="G354" s="677" t="s">
        <v>87</v>
      </c>
      <c r="H354" s="677" t="s">
        <v>36</v>
      </c>
      <c r="I354" s="678" t="s">
        <v>265</v>
      </c>
      <c r="J354" s="15" t="s">
        <v>75</v>
      </c>
      <c r="K354" s="29">
        <v>112.7</v>
      </c>
      <c r="L354" s="29">
        <f>M354-K354</f>
        <v>0</v>
      </c>
      <c r="M354" s="29">
        <v>112.7</v>
      </c>
      <c r="N354" s="29">
        <v>117.2</v>
      </c>
    </row>
    <row r="355" spans="1:14" s="120" customFormat="1" ht="108" x14ac:dyDescent="0.35">
      <c r="A355" s="16"/>
      <c r="B355" s="497" t="s">
        <v>341</v>
      </c>
      <c r="C355" s="28" t="s">
        <v>417</v>
      </c>
      <c r="D355" s="15" t="s">
        <v>220</v>
      </c>
      <c r="E355" s="15" t="s">
        <v>61</v>
      </c>
      <c r="F355" s="676" t="s">
        <v>38</v>
      </c>
      <c r="G355" s="677" t="s">
        <v>87</v>
      </c>
      <c r="H355" s="677" t="s">
        <v>36</v>
      </c>
      <c r="I355" s="678" t="s">
        <v>266</v>
      </c>
      <c r="J355" s="15"/>
      <c r="K355" s="29">
        <f>K356</f>
        <v>13000</v>
      </c>
      <c r="L355" s="29">
        <f t="shared" ref="L355" si="127">L356</f>
        <v>0</v>
      </c>
      <c r="M355" s="29">
        <f>M356</f>
        <v>13000</v>
      </c>
      <c r="N355" s="29">
        <f>N356</f>
        <v>13000</v>
      </c>
    </row>
    <row r="356" spans="1:14" s="120" customFormat="1" ht="54" x14ac:dyDescent="0.35">
      <c r="A356" s="16"/>
      <c r="B356" s="497" t="s">
        <v>74</v>
      </c>
      <c r="C356" s="28" t="s">
        <v>417</v>
      </c>
      <c r="D356" s="15" t="s">
        <v>220</v>
      </c>
      <c r="E356" s="15" t="s">
        <v>61</v>
      </c>
      <c r="F356" s="676" t="s">
        <v>38</v>
      </c>
      <c r="G356" s="677" t="s">
        <v>87</v>
      </c>
      <c r="H356" s="677" t="s">
        <v>36</v>
      </c>
      <c r="I356" s="678" t="s">
        <v>266</v>
      </c>
      <c r="J356" s="15" t="s">
        <v>75</v>
      </c>
      <c r="K356" s="29">
        <v>13000</v>
      </c>
      <c r="L356" s="29">
        <f>M356-K356</f>
        <v>0</v>
      </c>
      <c r="M356" s="29">
        <v>13000</v>
      </c>
      <c r="N356" s="29">
        <v>13000</v>
      </c>
    </row>
    <row r="357" spans="1:14" s="120" customFormat="1" ht="18" x14ac:dyDescent="0.35">
      <c r="A357" s="16"/>
      <c r="B357" s="497" t="s">
        <v>183</v>
      </c>
      <c r="C357" s="28" t="s">
        <v>417</v>
      </c>
      <c r="D357" s="15" t="s">
        <v>220</v>
      </c>
      <c r="E357" s="15" t="s">
        <v>77</v>
      </c>
      <c r="F357" s="676"/>
      <c r="G357" s="677"/>
      <c r="H357" s="677"/>
      <c r="I357" s="678"/>
      <c r="J357" s="15"/>
      <c r="K357" s="29">
        <f>K358</f>
        <v>92599.1</v>
      </c>
      <c r="L357" s="29">
        <f t="shared" ref="L357" si="128">L358</f>
        <v>0</v>
      </c>
      <c r="M357" s="29">
        <f>M358</f>
        <v>92599.1</v>
      </c>
      <c r="N357" s="29">
        <f>N358</f>
        <v>93250.5</v>
      </c>
    </row>
    <row r="358" spans="1:14" s="120" customFormat="1" ht="54" x14ac:dyDescent="0.35">
      <c r="A358" s="16"/>
      <c r="B358" s="497" t="s">
        <v>202</v>
      </c>
      <c r="C358" s="28" t="s">
        <v>417</v>
      </c>
      <c r="D358" s="15" t="s">
        <v>220</v>
      </c>
      <c r="E358" s="15" t="s">
        <v>77</v>
      </c>
      <c r="F358" s="676" t="s">
        <v>38</v>
      </c>
      <c r="G358" s="677" t="s">
        <v>41</v>
      </c>
      <c r="H358" s="677" t="s">
        <v>42</v>
      </c>
      <c r="I358" s="678" t="s">
        <v>43</v>
      </c>
      <c r="J358" s="15"/>
      <c r="K358" s="29">
        <f t="shared" ref="K358:N358" si="129">K359</f>
        <v>92599.1</v>
      </c>
      <c r="L358" s="29">
        <f t="shared" si="129"/>
        <v>0</v>
      </c>
      <c r="M358" s="29">
        <f t="shared" si="129"/>
        <v>92599.1</v>
      </c>
      <c r="N358" s="29">
        <f t="shared" si="129"/>
        <v>93250.5</v>
      </c>
    </row>
    <row r="359" spans="1:14" s="120" customFormat="1" ht="54" x14ac:dyDescent="0.35">
      <c r="A359" s="16"/>
      <c r="B359" s="497" t="s">
        <v>209</v>
      </c>
      <c r="C359" s="28" t="s">
        <v>417</v>
      </c>
      <c r="D359" s="15" t="s">
        <v>220</v>
      </c>
      <c r="E359" s="15" t="s">
        <v>77</v>
      </c>
      <c r="F359" s="676" t="s">
        <v>38</v>
      </c>
      <c r="G359" s="677" t="s">
        <v>29</v>
      </c>
      <c r="H359" s="677" t="s">
        <v>42</v>
      </c>
      <c r="I359" s="678" t="s">
        <v>43</v>
      </c>
      <c r="J359" s="15"/>
      <c r="K359" s="29">
        <f>K360+K373</f>
        <v>92599.1</v>
      </c>
      <c r="L359" s="29">
        <f t="shared" ref="L359" si="130">L360+L373</f>
        <v>0</v>
      </c>
      <c r="M359" s="29">
        <f>M360+M373</f>
        <v>92599.1</v>
      </c>
      <c r="N359" s="29">
        <f>N360+N373</f>
        <v>93250.5</v>
      </c>
    </row>
    <row r="360" spans="1:14" s="120" customFormat="1" ht="36" x14ac:dyDescent="0.35">
      <c r="A360" s="16"/>
      <c r="B360" s="497" t="s">
        <v>278</v>
      </c>
      <c r="C360" s="28" t="s">
        <v>417</v>
      </c>
      <c r="D360" s="15" t="s">
        <v>220</v>
      </c>
      <c r="E360" s="15" t="s">
        <v>77</v>
      </c>
      <c r="F360" s="676" t="s">
        <v>38</v>
      </c>
      <c r="G360" s="677" t="s">
        <v>29</v>
      </c>
      <c r="H360" s="677" t="s">
        <v>36</v>
      </c>
      <c r="I360" s="678" t="s">
        <v>43</v>
      </c>
      <c r="J360" s="15"/>
      <c r="K360" s="29">
        <f>K361+K365+K370</f>
        <v>86808.200000000012</v>
      </c>
      <c r="L360" s="29">
        <f t="shared" ref="L360" si="131">L361+L365+L370</f>
        <v>0</v>
      </c>
      <c r="M360" s="29">
        <f>M361+M365+M370</f>
        <v>86808.200000000012</v>
      </c>
      <c r="N360" s="29">
        <f>N361+N365+N370</f>
        <v>87228.5</v>
      </c>
    </row>
    <row r="361" spans="1:14" s="120" customFormat="1" ht="36" x14ac:dyDescent="0.35">
      <c r="A361" s="16"/>
      <c r="B361" s="497" t="s">
        <v>46</v>
      </c>
      <c r="C361" s="28" t="s">
        <v>417</v>
      </c>
      <c r="D361" s="15" t="s">
        <v>220</v>
      </c>
      <c r="E361" s="15" t="s">
        <v>77</v>
      </c>
      <c r="F361" s="676" t="s">
        <v>38</v>
      </c>
      <c r="G361" s="677" t="s">
        <v>29</v>
      </c>
      <c r="H361" s="677" t="s">
        <v>36</v>
      </c>
      <c r="I361" s="678" t="s">
        <v>47</v>
      </c>
      <c r="J361" s="15"/>
      <c r="K361" s="29">
        <f>K362+K363+K364</f>
        <v>14320.5</v>
      </c>
      <c r="L361" s="29">
        <f t="shared" ref="L361" si="132">L362+L363+L364</f>
        <v>0</v>
      </c>
      <c r="M361" s="29">
        <f>M362+M363+M364</f>
        <v>14320.5</v>
      </c>
      <c r="N361" s="29">
        <f>N362+N363+N364</f>
        <v>14327.400000000001</v>
      </c>
    </row>
    <row r="362" spans="1:14" s="120" customFormat="1" ht="108" x14ac:dyDescent="0.35">
      <c r="A362" s="16"/>
      <c r="B362" s="497" t="s">
        <v>48</v>
      </c>
      <c r="C362" s="28" t="s">
        <v>417</v>
      </c>
      <c r="D362" s="15" t="s">
        <v>220</v>
      </c>
      <c r="E362" s="15" t="s">
        <v>77</v>
      </c>
      <c r="F362" s="676" t="s">
        <v>38</v>
      </c>
      <c r="G362" s="677" t="s">
        <v>29</v>
      </c>
      <c r="H362" s="677" t="s">
        <v>36</v>
      </c>
      <c r="I362" s="678" t="s">
        <v>47</v>
      </c>
      <c r="J362" s="15" t="s">
        <v>49</v>
      </c>
      <c r="K362" s="29">
        <v>13219.6</v>
      </c>
      <c r="L362" s="29">
        <f>M362-K362</f>
        <v>0</v>
      </c>
      <c r="M362" s="29">
        <v>13219.6</v>
      </c>
      <c r="N362" s="29">
        <v>13219.6</v>
      </c>
    </row>
    <row r="363" spans="1:14" s="120" customFormat="1" ht="54" x14ac:dyDescent="0.35">
      <c r="A363" s="16"/>
      <c r="B363" s="497" t="s">
        <v>53</v>
      </c>
      <c r="C363" s="28" t="s">
        <v>417</v>
      </c>
      <c r="D363" s="15" t="s">
        <v>220</v>
      </c>
      <c r="E363" s="15" t="s">
        <v>77</v>
      </c>
      <c r="F363" s="676" t="s">
        <v>38</v>
      </c>
      <c r="G363" s="677" t="s">
        <v>29</v>
      </c>
      <c r="H363" s="677" t="s">
        <v>36</v>
      </c>
      <c r="I363" s="678" t="s">
        <v>47</v>
      </c>
      <c r="J363" s="15" t="s">
        <v>54</v>
      </c>
      <c r="K363" s="29">
        <v>1084.5999999999999</v>
      </c>
      <c r="L363" s="29">
        <f>M363-K363</f>
        <v>0</v>
      </c>
      <c r="M363" s="29">
        <v>1084.5999999999999</v>
      </c>
      <c r="N363" s="29">
        <v>1091.7</v>
      </c>
    </row>
    <row r="364" spans="1:14" s="120" customFormat="1" ht="18" x14ac:dyDescent="0.35">
      <c r="A364" s="16"/>
      <c r="B364" s="497" t="s">
        <v>55</v>
      </c>
      <c r="C364" s="28" t="s">
        <v>417</v>
      </c>
      <c r="D364" s="15" t="s">
        <v>220</v>
      </c>
      <c r="E364" s="15" t="s">
        <v>77</v>
      </c>
      <c r="F364" s="676" t="s">
        <v>38</v>
      </c>
      <c r="G364" s="677" t="s">
        <v>29</v>
      </c>
      <c r="H364" s="677" t="s">
        <v>36</v>
      </c>
      <c r="I364" s="678" t="s">
        <v>47</v>
      </c>
      <c r="J364" s="15" t="s">
        <v>56</v>
      </c>
      <c r="K364" s="29">
        <v>16.3</v>
      </c>
      <c r="L364" s="29">
        <f>M364-K364</f>
        <v>0</v>
      </c>
      <c r="M364" s="29">
        <v>16.3</v>
      </c>
      <c r="N364" s="29">
        <v>16.100000000000001</v>
      </c>
    </row>
    <row r="365" spans="1:14" s="120" customFormat="1" ht="36" x14ac:dyDescent="0.35">
      <c r="A365" s="16"/>
      <c r="B365" s="573" t="s">
        <v>454</v>
      </c>
      <c r="C365" s="28" t="s">
        <v>417</v>
      </c>
      <c r="D365" s="15" t="s">
        <v>220</v>
      </c>
      <c r="E365" s="15" t="s">
        <v>77</v>
      </c>
      <c r="F365" s="676" t="s">
        <v>38</v>
      </c>
      <c r="G365" s="677" t="s">
        <v>29</v>
      </c>
      <c r="H365" s="677" t="s">
        <v>36</v>
      </c>
      <c r="I365" s="678" t="s">
        <v>89</v>
      </c>
      <c r="J365" s="15"/>
      <c r="K365" s="29">
        <f>K366+K367+K369+K368</f>
        <v>64489.1</v>
      </c>
      <c r="L365" s="29">
        <f t="shared" ref="L365" si="133">L366+L367+L369+L368</f>
        <v>0</v>
      </c>
      <c r="M365" s="29">
        <f>M366+M367+M369+M368</f>
        <v>64489.1</v>
      </c>
      <c r="N365" s="29">
        <f>N366+N367+N369+N368</f>
        <v>64522.5</v>
      </c>
    </row>
    <row r="366" spans="1:14" s="120" customFormat="1" ht="108" x14ac:dyDescent="0.35">
      <c r="A366" s="16"/>
      <c r="B366" s="497" t="s">
        <v>48</v>
      </c>
      <c r="C366" s="28" t="s">
        <v>417</v>
      </c>
      <c r="D366" s="15" t="s">
        <v>220</v>
      </c>
      <c r="E366" s="15" t="s">
        <v>77</v>
      </c>
      <c r="F366" s="676" t="s">
        <v>38</v>
      </c>
      <c r="G366" s="677" t="s">
        <v>29</v>
      </c>
      <c r="H366" s="677" t="s">
        <v>36</v>
      </c>
      <c r="I366" s="678" t="s">
        <v>89</v>
      </c>
      <c r="J366" s="15" t="s">
        <v>49</v>
      </c>
      <c r="K366" s="29">
        <v>40001.199999999997</v>
      </c>
      <c r="L366" s="29">
        <f>M366-K366</f>
        <v>0</v>
      </c>
      <c r="M366" s="29">
        <v>40001.199999999997</v>
      </c>
      <c r="N366" s="29">
        <v>40001.199999999997</v>
      </c>
    </row>
    <row r="367" spans="1:14" s="120" customFormat="1" ht="54" x14ac:dyDescent="0.35">
      <c r="A367" s="16"/>
      <c r="B367" s="497" t="s">
        <v>53</v>
      </c>
      <c r="C367" s="28" t="s">
        <v>417</v>
      </c>
      <c r="D367" s="15" t="s">
        <v>220</v>
      </c>
      <c r="E367" s="15" t="s">
        <v>77</v>
      </c>
      <c r="F367" s="676" t="s">
        <v>38</v>
      </c>
      <c r="G367" s="677" t="s">
        <v>29</v>
      </c>
      <c r="H367" s="677" t="s">
        <v>36</v>
      </c>
      <c r="I367" s="678" t="s">
        <v>89</v>
      </c>
      <c r="J367" s="15" t="s">
        <v>54</v>
      </c>
      <c r="K367" s="29">
        <v>3290.9</v>
      </c>
      <c r="L367" s="29">
        <f>M367-K367</f>
        <v>0</v>
      </c>
      <c r="M367" s="29">
        <v>3290.9</v>
      </c>
      <c r="N367" s="29">
        <v>3121.7</v>
      </c>
    </row>
    <row r="368" spans="1:14" s="120" customFormat="1" ht="54" x14ac:dyDescent="0.35">
      <c r="A368" s="16"/>
      <c r="B368" s="497" t="s">
        <v>74</v>
      </c>
      <c r="C368" s="28" t="s">
        <v>417</v>
      </c>
      <c r="D368" s="15" t="s">
        <v>220</v>
      </c>
      <c r="E368" s="15" t="s">
        <v>77</v>
      </c>
      <c r="F368" s="676" t="s">
        <v>38</v>
      </c>
      <c r="G368" s="677" t="s">
        <v>29</v>
      </c>
      <c r="H368" s="677" t="s">
        <v>36</v>
      </c>
      <c r="I368" s="678" t="s">
        <v>89</v>
      </c>
      <c r="J368" s="15" t="s">
        <v>75</v>
      </c>
      <c r="K368" s="29">
        <v>21192.9</v>
      </c>
      <c r="L368" s="29">
        <f>M368-K368</f>
        <v>0</v>
      </c>
      <c r="M368" s="29">
        <v>21192.9</v>
      </c>
      <c r="N368" s="29">
        <v>21396.2</v>
      </c>
    </row>
    <row r="369" spans="1:14" s="120" customFormat="1" ht="18" x14ac:dyDescent="0.35">
      <c r="A369" s="16"/>
      <c r="B369" s="497" t="s">
        <v>55</v>
      </c>
      <c r="C369" s="28" t="s">
        <v>417</v>
      </c>
      <c r="D369" s="15" t="s">
        <v>220</v>
      </c>
      <c r="E369" s="15" t="s">
        <v>77</v>
      </c>
      <c r="F369" s="676" t="s">
        <v>38</v>
      </c>
      <c r="G369" s="677" t="s">
        <v>29</v>
      </c>
      <c r="H369" s="677" t="s">
        <v>36</v>
      </c>
      <c r="I369" s="678" t="s">
        <v>89</v>
      </c>
      <c r="J369" s="15" t="s">
        <v>56</v>
      </c>
      <c r="K369" s="29">
        <v>4.0999999999999996</v>
      </c>
      <c r="L369" s="29">
        <f>M369-K369</f>
        <v>0</v>
      </c>
      <c r="M369" s="29">
        <v>4.0999999999999996</v>
      </c>
      <c r="N369" s="29">
        <v>3.4</v>
      </c>
    </row>
    <row r="370" spans="1:14" s="120" customFormat="1" ht="108" x14ac:dyDescent="0.35">
      <c r="A370" s="16"/>
      <c r="B370" s="497" t="s">
        <v>341</v>
      </c>
      <c r="C370" s="28" t="s">
        <v>417</v>
      </c>
      <c r="D370" s="15" t="s">
        <v>220</v>
      </c>
      <c r="E370" s="15" t="s">
        <v>77</v>
      </c>
      <c r="F370" s="676" t="s">
        <v>38</v>
      </c>
      <c r="G370" s="677" t="s">
        <v>29</v>
      </c>
      <c r="H370" s="677" t="s">
        <v>36</v>
      </c>
      <c r="I370" s="678" t="s">
        <v>266</v>
      </c>
      <c r="J370" s="15"/>
      <c r="K370" s="29">
        <f t="shared" ref="K370" si="134">K371+K372</f>
        <v>7998.6</v>
      </c>
      <c r="L370" s="29">
        <f t="shared" ref="L370" si="135">L371+L372</f>
        <v>0</v>
      </c>
      <c r="M370" s="29">
        <f t="shared" ref="M370:N370" si="136">M371+M372</f>
        <v>7998.6</v>
      </c>
      <c r="N370" s="29">
        <f t="shared" si="136"/>
        <v>8378.6</v>
      </c>
    </row>
    <row r="371" spans="1:14" s="120" customFormat="1" ht="108" x14ac:dyDescent="0.35">
      <c r="A371" s="16"/>
      <c r="B371" s="497" t="s">
        <v>48</v>
      </c>
      <c r="C371" s="28" t="s">
        <v>417</v>
      </c>
      <c r="D371" s="15" t="s">
        <v>220</v>
      </c>
      <c r="E371" s="15" t="s">
        <v>77</v>
      </c>
      <c r="F371" s="676" t="s">
        <v>38</v>
      </c>
      <c r="G371" s="677" t="s">
        <v>29</v>
      </c>
      <c r="H371" s="677" t="s">
        <v>36</v>
      </c>
      <c r="I371" s="678" t="s">
        <v>266</v>
      </c>
      <c r="J371" s="15" t="s">
        <v>49</v>
      </c>
      <c r="K371" s="29">
        <v>7200</v>
      </c>
      <c r="L371" s="29">
        <f>M371-K371</f>
        <v>0</v>
      </c>
      <c r="M371" s="29">
        <v>7200</v>
      </c>
      <c r="N371" s="29">
        <v>7200</v>
      </c>
    </row>
    <row r="372" spans="1:14" s="120" customFormat="1" ht="54" x14ac:dyDescent="0.35">
      <c r="A372" s="16"/>
      <c r="B372" s="497" t="s">
        <v>53</v>
      </c>
      <c r="C372" s="28" t="s">
        <v>417</v>
      </c>
      <c r="D372" s="15" t="s">
        <v>220</v>
      </c>
      <c r="E372" s="15" t="s">
        <v>77</v>
      </c>
      <c r="F372" s="676" t="s">
        <v>38</v>
      </c>
      <c r="G372" s="677" t="s">
        <v>29</v>
      </c>
      <c r="H372" s="677" t="s">
        <v>36</v>
      </c>
      <c r="I372" s="678" t="s">
        <v>266</v>
      </c>
      <c r="J372" s="15" t="s">
        <v>54</v>
      </c>
      <c r="K372" s="29">
        <v>798.6</v>
      </c>
      <c r="L372" s="29">
        <f>M372-K372</f>
        <v>0</v>
      </c>
      <c r="M372" s="29">
        <v>798.6</v>
      </c>
      <c r="N372" s="29">
        <v>1178.5999999999999</v>
      </c>
    </row>
    <row r="373" spans="1:14" s="120" customFormat="1" ht="54" x14ac:dyDescent="0.35">
      <c r="A373" s="16"/>
      <c r="B373" s="494" t="s">
        <v>277</v>
      </c>
      <c r="C373" s="216" t="s">
        <v>417</v>
      </c>
      <c r="D373" s="33" t="s">
        <v>220</v>
      </c>
      <c r="E373" s="33" t="s">
        <v>77</v>
      </c>
      <c r="F373" s="208" t="s">
        <v>38</v>
      </c>
      <c r="G373" s="209" t="s">
        <v>29</v>
      </c>
      <c r="H373" s="209" t="s">
        <v>38</v>
      </c>
      <c r="I373" s="210" t="s">
        <v>43</v>
      </c>
      <c r="J373" s="33"/>
      <c r="K373" s="211">
        <f>K374</f>
        <v>5790.9</v>
      </c>
      <c r="L373" s="211">
        <f t="shared" ref="L373:L374" si="137">L374</f>
        <v>0</v>
      </c>
      <c r="M373" s="211">
        <f>M374</f>
        <v>5790.9</v>
      </c>
      <c r="N373" s="211">
        <f>N374</f>
        <v>6022</v>
      </c>
    </row>
    <row r="374" spans="1:14" s="120" customFormat="1" ht="108" x14ac:dyDescent="0.35">
      <c r="A374" s="16"/>
      <c r="B374" s="494" t="s">
        <v>431</v>
      </c>
      <c r="C374" s="216" t="s">
        <v>417</v>
      </c>
      <c r="D374" s="33" t="s">
        <v>220</v>
      </c>
      <c r="E374" s="33" t="s">
        <v>77</v>
      </c>
      <c r="F374" s="208" t="s">
        <v>38</v>
      </c>
      <c r="G374" s="209" t="s">
        <v>29</v>
      </c>
      <c r="H374" s="209" t="s">
        <v>38</v>
      </c>
      <c r="I374" s="210" t="s">
        <v>430</v>
      </c>
      <c r="J374" s="33"/>
      <c r="K374" s="211">
        <f>K375</f>
        <v>5790.9</v>
      </c>
      <c r="L374" s="211">
        <f t="shared" si="137"/>
        <v>0</v>
      </c>
      <c r="M374" s="211">
        <f>M375</f>
        <v>5790.9</v>
      </c>
      <c r="N374" s="211">
        <f>N375</f>
        <v>6022</v>
      </c>
    </row>
    <row r="375" spans="1:14" s="120" customFormat="1" ht="54" x14ac:dyDescent="0.35">
      <c r="A375" s="16"/>
      <c r="B375" s="494" t="s">
        <v>74</v>
      </c>
      <c r="C375" s="216" t="s">
        <v>417</v>
      </c>
      <c r="D375" s="33" t="s">
        <v>220</v>
      </c>
      <c r="E375" s="33" t="s">
        <v>77</v>
      </c>
      <c r="F375" s="208" t="s">
        <v>38</v>
      </c>
      <c r="G375" s="209" t="s">
        <v>29</v>
      </c>
      <c r="H375" s="209" t="s">
        <v>38</v>
      </c>
      <c r="I375" s="210" t="s">
        <v>430</v>
      </c>
      <c r="J375" s="33" t="s">
        <v>75</v>
      </c>
      <c r="K375" s="211">
        <v>5790.9</v>
      </c>
      <c r="L375" s="29">
        <f>M375-K375</f>
        <v>0</v>
      </c>
      <c r="M375" s="211">
        <v>5790.9</v>
      </c>
      <c r="N375" s="252">
        <v>6022</v>
      </c>
    </row>
    <row r="376" spans="1:14" s="120" customFormat="1" ht="18" x14ac:dyDescent="0.35">
      <c r="A376" s="16"/>
      <c r="B376" s="545" t="s">
        <v>117</v>
      </c>
      <c r="C376" s="28" t="s">
        <v>417</v>
      </c>
      <c r="D376" s="15" t="s">
        <v>102</v>
      </c>
      <c r="E376" s="15"/>
      <c r="F376" s="676"/>
      <c r="G376" s="677"/>
      <c r="H376" s="677"/>
      <c r="I376" s="678"/>
      <c r="J376" s="15"/>
      <c r="K376" s="29">
        <f t="shared" ref="K376:N377" si="138">K377</f>
        <v>8438.2000000000007</v>
      </c>
      <c r="L376" s="29">
        <f t="shared" si="138"/>
        <v>0</v>
      </c>
      <c r="M376" s="29">
        <f t="shared" si="138"/>
        <v>8438.2000000000007</v>
      </c>
      <c r="N376" s="29">
        <f t="shared" si="138"/>
        <v>8438.2000000000007</v>
      </c>
    </row>
    <row r="377" spans="1:14" s="120" customFormat="1" ht="18" x14ac:dyDescent="0.35">
      <c r="A377" s="16"/>
      <c r="B377" s="545" t="s">
        <v>190</v>
      </c>
      <c r="C377" s="28" t="s">
        <v>417</v>
      </c>
      <c r="D377" s="15" t="s">
        <v>102</v>
      </c>
      <c r="E377" s="15" t="s">
        <v>50</v>
      </c>
      <c r="F377" s="676"/>
      <c r="G377" s="677"/>
      <c r="H377" s="677"/>
      <c r="I377" s="678"/>
      <c r="J377" s="15"/>
      <c r="K377" s="29">
        <f t="shared" si="138"/>
        <v>8438.2000000000007</v>
      </c>
      <c r="L377" s="29">
        <f t="shared" si="138"/>
        <v>0</v>
      </c>
      <c r="M377" s="29">
        <f t="shared" si="138"/>
        <v>8438.2000000000007</v>
      </c>
      <c r="N377" s="29">
        <f t="shared" si="138"/>
        <v>8438.2000000000007</v>
      </c>
    </row>
    <row r="378" spans="1:14" s="120" customFormat="1" ht="54" x14ac:dyDescent="0.35">
      <c r="A378" s="16"/>
      <c r="B378" s="497" t="s">
        <v>202</v>
      </c>
      <c r="C378" s="28" t="s">
        <v>417</v>
      </c>
      <c r="D378" s="15" t="s">
        <v>102</v>
      </c>
      <c r="E378" s="15" t="s">
        <v>50</v>
      </c>
      <c r="F378" s="676" t="s">
        <v>38</v>
      </c>
      <c r="G378" s="677" t="s">
        <v>41</v>
      </c>
      <c r="H378" s="677" t="s">
        <v>42</v>
      </c>
      <c r="I378" s="678" t="s">
        <v>43</v>
      </c>
      <c r="J378" s="15"/>
      <c r="K378" s="29">
        <f t="shared" ref="K378:N380" si="139">K379</f>
        <v>8438.2000000000007</v>
      </c>
      <c r="L378" s="29">
        <f t="shared" si="139"/>
        <v>0</v>
      </c>
      <c r="M378" s="29">
        <f t="shared" si="139"/>
        <v>8438.2000000000007</v>
      </c>
      <c r="N378" s="29">
        <f t="shared" si="139"/>
        <v>8438.2000000000007</v>
      </c>
    </row>
    <row r="379" spans="1:14" s="120" customFormat="1" ht="36" x14ac:dyDescent="0.35">
      <c r="A379" s="16"/>
      <c r="B379" s="497" t="s">
        <v>203</v>
      </c>
      <c r="C379" s="28" t="s">
        <v>417</v>
      </c>
      <c r="D379" s="15" t="s">
        <v>102</v>
      </c>
      <c r="E379" s="15" t="s">
        <v>50</v>
      </c>
      <c r="F379" s="676" t="s">
        <v>38</v>
      </c>
      <c r="G379" s="677" t="s">
        <v>44</v>
      </c>
      <c r="H379" s="677" t="s">
        <v>42</v>
      </c>
      <c r="I379" s="678" t="s">
        <v>43</v>
      </c>
      <c r="J379" s="15"/>
      <c r="K379" s="29">
        <f t="shared" si="139"/>
        <v>8438.2000000000007</v>
      </c>
      <c r="L379" s="29">
        <f t="shared" si="139"/>
        <v>0</v>
      </c>
      <c r="M379" s="29">
        <f t="shared" si="139"/>
        <v>8438.2000000000007</v>
      </c>
      <c r="N379" s="29">
        <f t="shared" si="139"/>
        <v>8438.2000000000007</v>
      </c>
    </row>
    <row r="380" spans="1:14" s="120" customFormat="1" ht="36" x14ac:dyDescent="0.35">
      <c r="A380" s="16"/>
      <c r="B380" s="497" t="s">
        <v>263</v>
      </c>
      <c r="C380" s="28" t="s">
        <v>417</v>
      </c>
      <c r="D380" s="15" t="s">
        <v>102</v>
      </c>
      <c r="E380" s="15" t="s">
        <v>50</v>
      </c>
      <c r="F380" s="676" t="s">
        <v>38</v>
      </c>
      <c r="G380" s="677" t="s">
        <v>44</v>
      </c>
      <c r="H380" s="677" t="s">
        <v>36</v>
      </c>
      <c r="I380" s="678" t="s">
        <v>43</v>
      </c>
      <c r="J380" s="15"/>
      <c r="K380" s="29">
        <f t="shared" si="139"/>
        <v>8438.2000000000007</v>
      </c>
      <c r="L380" s="29">
        <f t="shared" si="139"/>
        <v>0</v>
      </c>
      <c r="M380" s="29">
        <f t="shared" si="139"/>
        <v>8438.2000000000007</v>
      </c>
      <c r="N380" s="29">
        <f t="shared" si="139"/>
        <v>8438.2000000000007</v>
      </c>
    </row>
    <row r="381" spans="1:14" s="120" customFormat="1" ht="126" x14ac:dyDescent="0.35">
      <c r="A381" s="16"/>
      <c r="B381" s="497" t="s">
        <v>279</v>
      </c>
      <c r="C381" s="28" t="s">
        <v>417</v>
      </c>
      <c r="D381" s="15" t="s">
        <v>102</v>
      </c>
      <c r="E381" s="15" t="s">
        <v>50</v>
      </c>
      <c r="F381" s="676" t="s">
        <v>38</v>
      </c>
      <c r="G381" s="677" t="s">
        <v>44</v>
      </c>
      <c r="H381" s="677" t="s">
        <v>36</v>
      </c>
      <c r="I381" s="678" t="s">
        <v>280</v>
      </c>
      <c r="J381" s="15"/>
      <c r="K381" s="29">
        <f>K382+K383</f>
        <v>8438.2000000000007</v>
      </c>
      <c r="L381" s="29">
        <f t="shared" ref="L381" si="140">L382+L383</f>
        <v>0</v>
      </c>
      <c r="M381" s="29">
        <f>M382+M383</f>
        <v>8438.2000000000007</v>
      </c>
      <c r="N381" s="29">
        <f>N382+N383</f>
        <v>8438.2000000000007</v>
      </c>
    </row>
    <row r="382" spans="1:14" s="120" customFormat="1" ht="54" x14ac:dyDescent="0.35">
      <c r="A382" s="16"/>
      <c r="B382" s="497" t="s">
        <v>53</v>
      </c>
      <c r="C382" s="28" t="s">
        <v>417</v>
      </c>
      <c r="D382" s="15" t="s">
        <v>102</v>
      </c>
      <c r="E382" s="15" t="s">
        <v>50</v>
      </c>
      <c r="F382" s="676" t="s">
        <v>38</v>
      </c>
      <c r="G382" s="677" t="s">
        <v>44</v>
      </c>
      <c r="H382" s="677" t="s">
        <v>36</v>
      </c>
      <c r="I382" s="678" t="s">
        <v>280</v>
      </c>
      <c r="J382" s="15" t="s">
        <v>54</v>
      </c>
      <c r="K382" s="29">
        <v>124.7</v>
      </c>
      <c r="L382" s="29">
        <f>M382-K382</f>
        <v>0</v>
      </c>
      <c r="M382" s="29">
        <v>124.7</v>
      </c>
      <c r="N382" s="29">
        <v>124.7</v>
      </c>
    </row>
    <row r="383" spans="1:14" s="120" customFormat="1" ht="36" x14ac:dyDescent="0.35">
      <c r="A383" s="16"/>
      <c r="B383" s="504" t="s">
        <v>118</v>
      </c>
      <c r="C383" s="28" t="s">
        <v>417</v>
      </c>
      <c r="D383" s="15" t="s">
        <v>102</v>
      </c>
      <c r="E383" s="15" t="s">
        <v>50</v>
      </c>
      <c r="F383" s="676" t="s">
        <v>38</v>
      </c>
      <c r="G383" s="677" t="s">
        <v>44</v>
      </c>
      <c r="H383" s="677" t="s">
        <v>36</v>
      </c>
      <c r="I383" s="678" t="s">
        <v>280</v>
      </c>
      <c r="J383" s="15" t="s">
        <v>119</v>
      </c>
      <c r="K383" s="29">
        <v>8313.5</v>
      </c>
      <c r="L383" s="29">
        <f>M383-K383</f>
        <v>0</v>
      </c>
      <c r="M383" s="29">
        <v>8313.5</v>
      </c>
      <c r="N383" s="29">
        <v>8313.5</v>
      </c>
    </row>
    <row r="384" spans="1:14" s="120" customFormat="1" ht="18" x14ac:dyDescent="0.35">
      <c r="A384" s="16"/>
      <c r="B384" s="501" t="s">
        <v>318</v>
      </c>
      <c r="C384" s="28" t="s">
        <v>417</v>
      </c>
      <c r="D384" s="15" t="s">
        <v>65</v>
      </c>
      <c r="E384" s="15"/>
      <c r="F384" s="676"/>
      <c r="G384" s="677"/>
      <c r="H384" s="677"/>
      <c r="I384" s="678"/>
      <c r="J384" s="15"/>
      <c r="K384" s="29">
        <f t="shared" ref="K384:N387" si="141">K385</f>
        <v>20113.399999999998</v>
      </c>
      <c r="L384" s="29">
        <f t="shared" si="141"/>
        <v>0</v>
      </c>
      <c r="M384" s="29">
        <f t="shared" si="141"/>
        <v>20113.399999999998</v>
      </c>
      <c r="N384" s="29">
        <f t="shared" si="141"/>
        <v>19863</v>
      </c>
    </row>
    <row r="385" spans="1:14" s="120" customFormat="1" ht="18" x14ac:dyDescent="0.35">
      <c r="A385" s="16"/>
      <c r="B385" s="573" t="s">
        <v>558</v>
      </c>
      <c r="C385" s="28" t="s">
        <v>417</v>
      </c>
      <c r="D385" s="15" t="s">
        <v>65</v>
      </c>
      <c r="E385" s="15" t="s">
        <v>61</v>
      </c>
      <c r="F385" s="676"/>
      <c r="G385" s="677"/>
      <c r="H385" s="677"/>
      <c r="I385" s="678"/>
      <c r="J385" s="15"/>
      <c r="K385" s="29">
        <f t="shared" si="141"/>
        <v>20113.399999999998</v>
      </c>
      <c r="L385" s="29">
        <f t="shared" si="141"/>
        <v>0</v>
      </c>
      <c r="M385" s="29">
        <f t="shared" si="141"/>
        <v>20113.399999999998</v>
      </c>
      <c r="N385" s="29">
        <f t="shared" si="141"/>
        <v>19863</v>
      </c>
    </row>
    <row r="386" spans="1:14" s="120" customFormat="1" ht="54" x14ac:dyDescent="0.35">
      <c r="A386" s="16"/>
      <c r="B386" s="573" t="s">
        <v>202</v>
      </c>
      <c r="C386" s="28" t="s">
        <v>417</v>
      </c>
      <c r="D386" s="15" t="s">
        <v>65</v>
      </c>
      <c r="E386" s="15" t="s">
        <v>61</v>
      </c>
      <c r="F386" s="676" t="s">
        <v>38</v>
      </c>
      <c r="G386" s="677" t="s">
        <v>41</v>
      </c>
      <c r="H386" s="677" t="s">
        <v>42</v>
      </c>
      <c r="I386" s="678" t="s">
        <v>43</v>
      </c>
      <c r="J386" s="15"/>
      <c r="K386" s="29">
        <f t="shared" si="141"/>
        <v>20113.399999999998</v>
      </c>
      <c r="L386" s="29">
        <f t="shared" si="141"/>
        <v>0</v>
      </c>
      <c r="M386" s="29">
        <f t="shared" si="141"/>
        <v>20113.399999999998</v>
      </c>
      <c r="N386" s="29">
        <f t="shared" si="141"/>
        <v>19863</v>
      </c>
    </row>
    <row r="387" spans="1:14" s="120" customFormat="1" ht="18" x14ac:dyDescent="0.35">
      <c r="A387" s="16"/>
      <c r="B387" s="573" t="s">
        <v>207</v>
      </c>
      <c r="C387" s="28" t="s">
        <v>417</v>
      </c>
      <c r="D387" s="15" t="s">
        <v>65</v>
      </c>
      <c r="E387" s="15" t="s">
        <v>61</v>
      </c>
      <c r="F387" s="676" t="s">
        <v>38</v>
      </c>
      <c r="G387" s="677" t="s">
        <v>87</v>
      </c>
      <c r="H387" s="677" t="s">
        <v>42</v>
      </c>
      <c r="I387" s="678" t="s">
        <v>43</v>
      </c>
      <c r="J387" s="15"/>
      <c r="K387" s="29">
        <f t="shared" si="141"/>
        <v>20113.399999999998</v>
      </c>
      <c r="L387" s="29">
        <f t="shared" si="141"/>
        <v>0</v>
      </c>
      <c r="M387" s="29">
        <f t="shared" si="141"/>
        <v>20113.399999999998</v>
      </c>
      <c r="N387" s="29">
        <f>N388</f>
        <v>19863</v>
      </c>
    </row>
    <row r="388" spans="1:14" s="120" customFormat="1" ht="36" x14ac:dyDescent="0.35">
      <c r="A388" s="16"/>
      <c r="B388" s="573" t="s">
        <v>272</v>
      </c>
      <c r="C388" s="28" t="s">
        <v>417</v>
      </c>
      <c r="D388" s="15" t="s">
        <v>65</v>
      </c>
      <c r="E388" s="15" t="s">
        <v>61</v>
      </c>
      <c r="F388" s="676" t="s">
        <v>38</v>
      </c>
      <c r="G388" s="677" t="s">
        <v>87</v>
      </c>
      <c r="H388" s="677" t="s">
        <v>36</v>
      </c>
      <c r="I388" s="678" t="s">
        <v>43</v>
      </c>
      <c r="J388" s="15"/>
      <c r="K388" s="29">
        <f>K389+K393</f>
        <v>20113.399999999998</v>
      </c>
      <c r="L388" s="29">
        <f t="shared" ref="L388" si="142">L389+L393</f>
        <v>0</v>
      </c>
      <c r="M388" s="29">
        <f>M389+M393</f>
        <v>20113.399999999998</v>
      </c>
      <c r="N388" s="29">
        <f>N389+N393</f>
        <v>19863</v>
      </c>
    </row>
    <row r="389" spans="1:14" s="120" customFormat="1" ht="36" x14ac:dyDescent="0.35">
      <c r="A389" s="16"/>
      <c r="B389" s="625" t="s">
        <v>454</v>
      </c>
      <c r="C389" s="28" t="s">
        <v>417</v>
      </c>
      <c r="D389" s="15" t="s">
        <v>65</v>
      </c>
      <c r="E389" s="15" t="s">
        <v>61</v>
      </c>
      <c r="F389" s="676" t="s">
        <v>38</v>
      </c>
      <c r="G389" s="677" t="s">
        <v>87</v>
      </c>
      <c r="H389" s="677" t="s">
        <v>36</v>
      </c>
      <c r="I389" s="678" t="s">
        <v>89</v>
      </c>
      <c r="J389" s="15"/>
      <c r="K389" s="29">
        <f>K390+K391+K392</f>
        <v>19046.8</v>
      </c>
      <c r="L389" s="29">
        <f t="shared" ref="L389" si="143">L390+L391+L392</f>
        <v>0</v>
      </c>
      <c r="M389" s="29">
        <f>M390+M391+M392</f>
        <v>19046.8</v>
      </c>
      <c r="N389" s="29">
        <f>N390+N391+N392</f>
        <v>19043.5</v>
      </c>
    </row>
    <row r="390" spans="1:14" s="120" customFormat="1" ht="108" x14ac:dyDescent="0.35">
      <c r="A390" s="16"/>
      <c r="B390" s="497" t="s">
        <v>48</v>
      </c>
      <c r="C390" s="28" t="s">
        <v>417</v>
      </c>
      <c r="D390" s="15" t="s">
        <v>65</v>
      </c>
      <c r="E390" s="15" t="s">
        <v>61</v>
      </c>
      <c r="F390" s="676" t="s">
        <v>38</v>
      </c>
      <c r="G390" s="677" t="s">
        <v>87</v>
      </c>
      <c r="H390" s="677" t="s">
        <v>36</v>
      </c>
      <c r="I390" s="678" t="s">
        <v>89</v>
      </c>
      <c r="J390" s="15" t="s">
        <v>49</v>
      </c>
      <c r="K390" s="29">
        <v>17038.2</v>
      </c>
      <c r="L390" s="29">
        <f>M390-K390</f>
        <v>0</v>
      </c>
      <c r="M390" s="29">
        <v>17038.2</v>
      </c>
      <c r="N390" s="29">
        <v>17038.2</v>
      </c>
    </row>
    <row r="391" spans="1:14" s="120" customFormat="1" ht="54" x14ac:dyDescent="0.35">
      <c r="A391" s="16"/>
      <c r="B391" s="573" t="s">
        <v>53</v>
      </c>
      <c r="C391" s="28" t="s">
        <v>417</v>
      </c>
      <c r="D391" s="15" t="s">
        <v>65</v>
      </c>
      <c r="E391" s="15" t="s">
        <v>61</v>
      </c>
      <c r="F391" s="676" t="s">
        <v>38</v>
      </c>
      <c r="G391" s="677" t="s">
        <v>87</v>
      </c>
      <c r="H391" s="677" t="s">
        <v>36</v>
      </c>
      <c r="I391" s="678" t="s">
        <v>89</v>
      </c>
      <c r="J391" s="15" t="s">
        <v>54</v>
      </c>
      <c r="K391" s="29">
        <v>1712.1</v>
      </c>
      <c r="L391" s="29">
        <f>M391-K391</f>
        <v>0</v>
      </c>
      <c r="M391" s="29">
        <v>1712.1</v>
      </c>
      <c r="N391" s="29">
        <v>1715.3</v>
      </c>
    </row>
    <row r="392" spans="1:14" s="120" customFormat="1" ht="18" x14ac:dyDescent="0.35">
      <c r="A392" s="16"/>
      <c r="B392" s="497" t="s">
        <v>55</v>
      </c>
      <c r="C392" s="28" t="s">
        <v>417</v>
      </c>
      <c r="D392" s="15" t="s">
        <v>65</v>
      </c>
      <c r="E392" s="15" t="s">
        <v>61</v>
      </c>
      <c r="F392" s="676" t="s">
        <v>38</v>
      </c>
      <c r="G392" s="677" t="s">
        <v>87</v>
      </c>
      <c r="H392" s="677" t="s">
        <v>36</v>
      </c>
      <c r="I392" s="678" t="s">
        <v>89</v>
      </c>
      <c r="J392" s="15" t="s">
        <v>56</v>
      </c>
      <c r="K392" s="29">
        <v>296.5</v>
      </c>
      <c r="L392" s="29">
        <f>M392-K392</f>
        <v>0</v>
      </c>
      <c r="M392" s="29">
        <v>296.5</v>
      </c>
      <c r="N392" s="29">
        <v>290</v>
      </c>
    </row>
    <row r="393" spans="1:14" s="120" customFormat="1" ht="54" x14ac:dyDescent="0.35">
      <c r="A393" s="16"/>
      <c r="B393" s="497" t="s">
        <v>204</v>
      </c>
      <c r="C393" s="28" t="s">
        <v>417</v>
      </c>
      <c r="D393" s="15" t="s">
        <v>65</v>
      </c>
      <c r="E393" s="15" t="s">
        <v>61</v>
      </c>
      <c r="F393" s="676" t="s">
        <v>38</v>
      </c>
      <c r="G393" s="677" t="s">
        <v>87</v>
      </c>
      <c r="H393" s="677" t="s">
        <v>36</v>
      </c>
      <c r="I393" s="678" t="s">
        <v>269</v>
      </c>
      <c r="J393" s="15"/>
      <c r="K393" s="29">
        <f>K394</f>
        <v>1066.5999999999999</v>
      </c>
      <c r="L393" s="29">
        <f t="shared" ref="L393" si="144">L394</f>
        <v>0</v>
      </c>
      <c r="M393" s="29">
        <f>M394</f>
        <v>1066.5999999999999</v>
      </c>
      <c r="N393" s="29">
        <f>N394</f>
        <v>819.5</v>
      </c>
    </row>
    <row r="394" spans="1:14" s="120" customFormat="1" ht="54" x14ac:dyDescent="0.35">
      <c r="A394" s="16"/>
      <c r="B394" s="497" t="s">
        <v>53</v>
      </c>
      <c r="C394" s="28" t="s">
        <v>417</v>
      </c>
      <c r="D394" s="15" t="s">
        <v>65</v>
      </c>
      <c r="E394" s="15" t="s">
        <v>61</v>
      </c>
      <c r="F394" s="676" t="s">
        <v>38</v>
      </c>
      <c r="G394" s="677" t="s">
        <v>87</v>
      </c>
      <c r="H394" s="677" t="s">
        <v>36</v>
      </c>
      <c r="I394" s="678" t="s">
        <v>269</v>
      </c>
      <c r="J394" s="15" t="s">
        <v>54</v>
      </c>
      <c r="K394" s="29">
        <v>1066.5999999999999</v>
      </c>
      <c r="L394" s="29">
        <f>M394-K394</f>
        <v>0</v>
      </c>
      <c r="M394" s="29">
        <v>1066.5999999999999</v>
      </c>
      <c r="N394" s="29">
        <v>819.5</v>
      </c>
    </row>
    <row r="395" spans="1:14" s="122" customFormat="1" ht="18" x14ac:dyDescent="0.35">
      <c r="A395" s="16"/>
      <c r="B395" s="497"/>
      <c r="C395" s="28"/>
      <c r="D395" s="15"/>
      <c r="E395" s="15"/>
      <c r="F395" s="676"/>
      <c r="G395" s="677"/>
      <c r="H395" s="677"/>
      <c r="I395" s="678"/>
      <c r="J395" s="15"/>
      <c r="K395" s="29"/>
      <c r="L395" s="29"/>
      <c r="M395" s="29"/>
      <c r="N395" s="29"/>
    </row>
    <row r="396" spans="1:14" s="116" customFormat="1" ht="52.2" x14ac:dyDescent="0.3">
      <c r="A396" s="115">
        <v>6</v>
      </c>
      <c r="B396" s="565" t="s">
        <v>9</v>
      </c>
      <c r="C396" s="23" t="s">
        <v>310</v>
      </c>
      <c r="D396" s="24"/>
      <c r="E396" s="24"/>
      <c r="F396" s="25"/>
      <c r="G396" s="26"/>
      <c r="H396" s="26"/>
      <c r="I396" s="27"/>
      <c r="J396" s="24"/>
      <c r="K396" s="37">
        <f>K404+K419+K397</f>
        <v>118607.00000000001</v>
      </c>
      <c r="L396" s="37">
        <f t="shared" ref="L396" si="145">L404+L419+L397</f>
        <v>0</v>
      </c>
      <c r="M396" s="37">
        <f>M404+M419+M397</f>
        <v>118607.00000000001</v>
      </c>
      <c r="N396" s="37">
        <f>N404+N419+N397</f>
        <v>118644.40000000001</v>
      </c>
    </row>
    <row r="397" spans="1:14" s="116" customFormat="1" ht="18" x14ac:dyDescent="0.35">
      <c r="A397" s="115"/>
      <c r="B397" s="497" t="s">
        <v>35</v>
      </c>
      <c r="C397" s="28" t="s">
        <v>310</v>
      </c>
      <c r="D397" s="33" t="s">
        <v>36</v>
      </c>
      <c r="E397" s="24"/>
      <c r="F397" s="25"/>
      <c r="G397" s="26"/>
      <c r="H397" s="26"/>
      <c r="I397" s="27"/>
      <c r="J397" s="24"/>
      <c r="K397" s="211">
        <f t="shared" ref="K397:M402" si="146">K398</f>
        <v>56.3</v>
      </c>
      <c r="L397" s="211">
        <f t="shared" si="146"/>
        <v>0</v>
      </c>
      <c r="M397" s="211">
        <f t="shared" si="146"/>
        <v>56.3</v>
      </c>
      <c r="N397" s="211">
        <f>N398</f>
        <v>56.3</v>
      </c>
    </row>
    <row r="398" spans="1:14" s="116" customFormat="1" ht="18" x14ac:dyDescent="0.35">
      <c r="A398" s="115"/>
      <c r="B398" s="497" t="s">
        <v>68</v>
      </c>
      <c r="C398" s="28" t="s">
        <v>310</v>
      </c>
      <c r="D398" s="33" t="s">
        <v>36</v>
      </c>
      <c r="E398" s="33" t="s">
        <v>69</v>
      </c>
      <c r="F398" s="25"/>
      <c r="G398" s="26"/>
      <c r="H398" s="26"/>
      <c r="I398" s="27"/>
      <c r="J398" s="24"/>
      <c r="K398" s="211">
        <f t="shared" ref="K398:N399" si="147">K399</f>
        <v>56.3</v>
      </c>
      <c r="L398" s="211">
        <f t="shared" si="147"/>
        <v>0</v>
      </c>
      <c r="M398" s="211">
        <f t="shared" si="147"/>
        <v>56.3</v>
      </c>
      <c r="N398" s="211">
        <f t="shared" si="147"/>
        <v>56.3</v>
      </c>
    </row>
    <row r="399" spans="1:14" s="116" customFormat="1" ht="54" x14ac:dyDescent="0.35">
      <c r="A399" s="115"/>
      <c r="B399" s="546" t="s">
        <v>210</v>
      </c>
      <c r="C399" s="28" t="s">
        <v>310</v>
      </c>
      <c r="D399" s="33" t="s">
        <v>36</v>
      </c>
      <c r="E399" s="33" t="s">
        <v>69</v>
      </c>
      <c r="F399" s="208" t="s">
        <v>61</v>
      </c>
      <c r="G399" s="209" t="s">
        <v>41</v>
      </c>
      <c r="H399" s="209" t="s">
        <v>42</v>
      </c>
      <c r="I399" s="210" t="s">
        <v>43</v>
      </c>
      <c r="J399" s="24"/>
      <c r="K399" s="211">
        <f t="shared" si="147"/>
        <v>56.3</v>
      </c>
      <c r="L399" s="211">
        <f t="shared" si="147"/>
        <v>0</v>
      </c>
      <c r="M399" s="211">
        <f t="shared" si="147"/>
        <v>56.3</v>
      </c>
      <c r="N399" s="211">
        <f t="shared" si="147"/>
        <v>56.3</v>
      </c>
    </row>
    <row r="400" spans="1:14" s="116" customFormat="1" ht="54" x14ac:dyDescent="0.35">
      <c r="A400" s="115"/>
      <c r="B400" s="497" t="s">
        <v>212</v>
      </c>
      <c r="C400" s="28" t="s">
        <v>310</v>
      </c>
      <c r="D400" s="33" t="s">
        <v>36</v>
      </c>
      <c r="E400" s="33" t="s">
        <v>69</v>
      </c>
      <c r="F400" s="208" t="s">
        <v>61</v>
      </c>
      <c r="G400" s="209" t="s">
        <v>29</v>
      </c>
      <c r="H400" s="209" t="s">
        <v>42</v>
      </c>
      <c r="I400" s="210" t="s">
        <v>43</v>
      </c>
      <c r="J400" s="24"/>
      <c r="K400" s="211">
        <f t="shared" si="146"/>
        <v>56.3</v>
      </c>
      <c r="L400" s="211">
        <f t="shared" si="146"/>
        <v>0</v>
      </c>
      <c r="M400" s="211">
        <f t="shared" si="146"/>
        <v>56.3</v>
      </c>
      <c r="N400" s="211">
        <f>N401</f>
        <v>56.3</v>
      </c>
    </row>
    <row r="401" spans="1:14" s="116" customFormat="1" ht="36" x14ac:dyDescent="0.35">
      <c r="A401" s="115"/>
      <c r="B401" s="497" t="s">
        <v>347</v>
      </c>
      <c r="C401" s="28" t="s">
        <v>310</v>
      </c>
      <c r="D401" s="33" t="s">
        <v>36</v>
      </c>
      <c r="E401" s="33" t="s">
        <v>69</v>
      </c>
      <c r="F401" s="208" t="s">
        <v>61</v>
      </c>
      <c r="G401" s="209" t="s">
        <v>29</v>
      </c>
      <c r="H401" s="209" t="s">
        <v>38</v>
      </c>
      <c r="I401" s="210" t="s">
        <v>43</v>
      </c>
      <c r="J401" s="24"/>
      <c r="K401" s="211">
        <f t="shared" si="146"/>
        <v>56.3</v>
      </c>
      <c r="L401" s="211">
        <f t="shared" si="146"/>
        <v>0</v>
      </c>
      <c r="M401" s="211">
        <f t="shared" si="146"/>
        <v>56.3</v>
      </c>
      <c r="N401" s="211">
        <f>N402</f>
        <v>56.3</v>
      </c>
    </row>
    <row r="402" spans="1:14" s="116" customFormat="1" ht="54" x14ac:dyDescent="0.35">
      <c r="A402" s="115"/>
      <c r="B402" s="497" t="s">
        <v>348</v>
      </c>
      <c r="C402" s="28" t="s">
        <v>310</v>
      </c>
      <c r="D402" s="33" t="s">
        <v>36</v>
      </c>
      <c r="E402" s="33" t="s">
        <v>69</v>
      </c>
      <c r="F402" s="208" t="s">
        <v>61</v>
      </c>
      <c r="G402" s="209" t="s">
        <v>29</v>
      </c>
      <c r="H402" s="209" t="s">
        <v>38</v>
      </c>
      <c r="I402" s="210" t="s">
        <v>103</v>
      </c>
      <c r="J402" s="24"/>
      <c r="K402" s="211">
        <f>K403</f>
        <v>56.3</v>
      </c>
      <c r="L402" s="211">
        <f t="shared" si="146"/>
        <v>0</v>
      </c>
      <c r="M402" s="211">
        <f>M403</f>
        <v>56.3</v>
      </c>
      <c r="N402" s="211">
        <f>N403</f>
        <v>56.3</v>
      </c>
    </row>
    <row r="403" spans="1:14" s="116" customFormat="1" ht="54" x14ac:dyDescent="0.35">
      <c r="A403" s="115"/>
      <c r="B403" s="497" t="s">
        <v>53</v>
      </c>
      <c r="C403" s="28" t="s">
        <v>310</v>
      </c>
      <c r="D403" s="33" t="s">
        <v>36</v>
      </c>
      <c r="E403" s="33" t="s">
        <v>69</v>
      </c>
      <c r="F403" s="208" t="s">
        <v>61</v>
      </c>
      <c r="G403" s="209" t="s">
        <v>29</v>
      </c>
      <c r="H403" s="209" t="s">
        <v>38</v>
      </c>
      <c r="I403" s="210" t="s">
        <v>103</v>
      </c>
      <c r="J403" s="33" t="s">
        <v>54</v>
      </c>
      <c r="K403" s="211">
        <v>56.3</v>
      </c>
      <c r="L403" s="29">
        <f>M403-K403</f>
        <v>0</v>
      </c>
      <c r="M403" s="211">
        <v>56.3</v>
      </c>
      <c r="N403" s="211">
        <v>56.3</v>
      </c>
    </row>
    <row r="404" spans="1:14" s="12" customFormat="1" ht="18" x14ac:dyDescent="0.35">
      <c r="A404" s="16"/>
      <c r="B404" s="546" t="s">
        <v>176</v>
      </c>
      <c r="C404" s="28" t="s">
        <v>310</v>
      </c>
      <c r="D404" s="15" t="s">
        <v>220</v>
      </c>
      <c r="E404" s="15"/>
      <c r="F404" s="676"/>
      <c r="G404" s="677"/>
      <c r="H404" s="677"/>
      <c r="I404" s="678"/>
      <c r="J404" s="15"/>
      <c r="K404" s="29">
        <f>K405+K413</f>
        <v>74337.700000000012</v>
      </c>
      <c r="L404" s="29">
        <f t="shared" ref="L404" si="148">L405+L413</f>
        <v>0</v>
      </c>
      <c r="M404" s="29">
        <f>M405+M413</f>
        <v>74337.700000000012</v>
      </c>
      <c r="N404" s="29">
        <f>N405+N413</f>
        <v>74391.100000000006</v>
      </c>
    </row>
    <row r="405" spans="1:14" s="116" customFormat="1" ht="18" x14ac:dyDescent="0.35">
      <c r="A405" s="16"/>
      <c r="B405" s="546" t="s">
        <v>345</v>
      </c>
      <c r="C405" s="28" t="s">
        <v>310</v>
      </c>
      <c r="D405" s="15" t="s">
        <v>220</v>
      </c>
      <c r="E405" s="15" t="s">
        <v>61</v>
      </c>
      <c r="F405" s="676"/>
      <c r="G405" s="677"/>
      <c r="H405" s="677"/>
      <c r="I405" s="678"/>
      <c r="J405" s="15"/>
      <c r="K405" s="29">
        <f t="shared" ref="K405:M406" si="149">K406</f>
        <v>73887.700000000012</v>
      </c>
      <c r="L405" s="29">
        <f t="shared" si="149"/>
        <v>0</v>
      </c>
      <c r="M405" s="29">
        <f t="shared" si="149"/>
        <v>73887.700000000012</v>
      </c>
      <c r="N405" s="29">
        <f>N406</f>
        <v>73941.100000000006</v>
      </c>
    </row>
    <row r="406" spans="1:14" s="116" customFormat="1" ht="54" x14ac:dyDescent="0.35">
      <c r="A406" s="16"/>
      <c r="B406" s="546" t="s">
        <v>210</v>
      </c>
      <c r="C406" s="28" t="s">
        <v>310</v>
      </c>
      <c r="D406" s="15" t="s">
        <v>220</v>
      </c>
      <c r="E406" s="15" t="s">
        <v>61</v>
      </c>
      <c r="F406" s="676" t="s">
        <v>61</v>
      </c>
      <c r="G406" s="677" t="s">
        <v>41</v>
      </c>
      <c r="H406" s="677" t="s">
        <v>42</v>
      </c>
      <c r="I406" s="678" t="s">
        <v>43</v>
      </c>
      <c r="J406" s="15"/>
      <c r="K406" s="29">
        <f t="shared" si="149"/>
        <v>73887.700000000012</v>
      </c>
      <c r="L406" s="29">
        <f t="shared" si="149"/>
        <v>0</v>
      </c>
      <c r="M406" s="29">
        <f t="shared" si="149"/>
        <v>73887.700000000012</v>
      </c>
      <c r="N406" s="29">
        <f>N407</f>
        <v>73941.100000000006</v>
      </c>
    </row>
    <row r="407" spans="1:14" s="116" customFormat="1" ht="72" x14ac:dyDescent="0.35">
      <c r="A407" s="16"/>
      <c r="B407" s="546" t="s">
        <v>211</v>
      </c>
      <c r="C407" s="28" t="s">
        <v>310</v>
      </c>
      <c r="D407" s="15" t="s">
        <v>220</v>
      </c>
      <c r="E407" s="15" t="s">
        <v>61</v>
      </c>
      <c r="F407" s="676" t="s">
        <v>61</v>
      </c>
      <c r="G407" s="677" t="s">
        <v>44</v>
      </c>
      <c r="H407" s="677" t="s">
        <v>42</v>
      </c>
      <c r="I407" s="678" t="s">
        <v>43</v>
      </c>
      <c r="J407" s="15"/>
      <c r="K407" s="29">
        <f t="shared" ref="K407:N409" si="150">K408</f>
        <v>73887.700000000012</v>
      </c>
      <c r="L407" s="29">
        <f t="shared" si="150"/>
        <v>0</v>
      </c>
      <c r="M407" s="29">
        <f t="shared" si="150"/>
        <v>73887.700000000012</v>
      </c>
      <c r="N407" s="29">
        <f t="shared" si="150"/>
        <v>73941.100000000006</v>
      </c>
    </row>
    <row r="408" spans="1:14" s="116" customFormat="1" ht="36" x14ac:dyDescent="0.35">
      <c r="A408" s="16"/>
      <c r="B408" s="546" t="s">
        <v>272</v>
      </c>
      <c r="C408" s="28" t="s">
        <v>310</v>
      </c>
      <c r="D408" s="15" t="s">
        <v>220</v>
      </c>
      <c r="E408" s="15" t="s">
        <v>61</v>
      </c>
      <c r="F408" s="676" t="s">
        <v>61</v>
      </c>
      <c r="G408" s="677" t="s">
        <v>44</v>
      </c>
      <c r="H408" s="677" t="s">
        <v>36</v>
      </c>
      <c r="I408" s="678" t="s">
        <v>43</v>
      </c>
      <c r="J408" s="15"/>
      <c r="K408" s="29">
        <f>K409+K411</f>
        <v>73887.700000000012</v>
      </c>
      <c r="L408" s="29">
        <f t="shared" ref="L408" si="151">L409+L411</f>
        <v>0</v>
      </c>
      <c r="M408" s="29">
        <f>M409+M411</f>
        <v>73887.700000000012</v>
      </c>
      <c r="N408" s="29">
        <f>N409+N411</f>
        <v>73941.100000000006</v>
      </c>
    </row>
    <row r="409" spans="1:14" s="116" customFormat="1" ht="36" x14ac:dyDescent="0.35">
      <c r="A409" s="16"/>
      <c r="B409" s="573" t="s">
        <v>454</v>
      </c>
      <c r="C409" s="28" t="s">
        <v>310</v>
      </c>
      <c r="D409" s="15" t="s">
        <v>220</v>
      </c>
      <c r="E409" s="15" t="s">
        <v>61</v>
      </c>
      <c r="F409" s="676" t="s">
        <v>61</v>
      </c>
      <c r="G409" s="677" t="s">
        <v>44</v>
      </c>
      <c r="H409" s="677" t="s">
        <v>36</v>
      </c>
      <c r="I409" s="678" t="s">
        <v>89</v>
      </c>
      <c r="J409" s="15"/>
      <c r="K409" s="29">
        <f t="shared" si="150"/>
        <v>66324.600000000006</v>
      </c>
      <c r="L409" s="29">
        <f t="shared" si="150"/>
        <v>0</v>
      </c>
      <c r="M409" s="29">
        <f t="shared" si="150"/>
        <v>66324.600000000006</v>
      </c>
      <c r="N409" s="29">
        <f t="shared" si="150"/>
        <v>66378</v>
      </c>
    </row>
    <row r="410" spans="1:14" s="12" customFormat="1" ht="54" x14ac:dyDescent="0.35">
      <c r="A410" s="16"/>
      <c r="B410" s="504" t="s">
        <v>74</v>
      </c>
      <c r="C410" s="28" t="s">
        <v>310</v>
      </c>
      <c r="D410" s="15" t="s">
        <v>220</v>
      </c>
      <c r="E410" s="15" t="s">
        <v>61</v>
      </c>
      <c r="F410" s="676" t="s">
        <v>61</v>
      </c>
      <c r="G410" s="677" t="s">
        <v>44</v>
      </c>
      <c r="H410" s="677" t="s">
        <v>36</v>
      </c>
      <c r="I410" s="678" t="s">
        <v>89</v>
      </c>
      <c r="J410" s="15" t="s">
        <v>75</v>
      </c>
      <c r="K410" s="29">
        <v>66324.600000000006</v>
      </c>
      <c r="L410" s="29">
        <f>M410-K410</f>
        <v>0</v>
      </c>
      <c r="M410" s="29">
        <v>66324.600000000006</v>
      </c>
      <c r="N410" s="29">
        <v>66378</v>
      </c>
    </row>
    <row r="411" spans="1:14" s="12" customFormat="1" ht="36" x14ac:dyDescent="0.35">
      <c r="A411" s="16"/>
      <c r="B411" s="504" t="s">
        <v>311</v>
      </c>
      <c r="C411" s="28" t="s">
        <v>310</v>
      </c>
      <c r="D411" s="15" t="s">
        <v>220</v>
      </c>
      <c r="E411" s="15" t="s">
        <v>61</v>
      </c>
      <c r="F411" s="676" t="s">
        <v>61</v>
      </c>
      <c r="G411" s="677" t="s">
        <v>44</v>
      </c>
      <c r="H411" s="677" t="s">
        <v>36</v>
      </c>
      <c r="I411" s="678" t="s">
        <v>312</v>
      </c>
      <c r="J411" s="15"/>
      <c r="K411" s="29">
        <f>K412</f>
        <v>7563.1</v>
      </c>
      <c r="L411" s="29">
        <f t="shared" ref="L411" si="152">L412</f>
        <v>0</v>
      </c>
      <c r="M411" s="29">
        <f>M412</f>
        <v>7563.1</v>
      </c>
      <c r="N411" s="29">
        <f>N412</f>
        <v>7563.1</v>
      </c>
    </row>
    <row r="412" spans="1:14" s="12" customFormat="1" ht="54" x14ac:dyDescent="0.35">
      <c r="A412" s="16"/>
      <c r="B412" s="504" t="s">
        <v>74</v>
      </c>
      <c r="C412" s="28" t="s">
        <v>310</v>
      </c>
      <c r="D412" s="15" t="s">
        <v>220</v>
      </c>
      <c r="E412" s="15" t="s">
        <v>61</v>
      </c>
      <c r="F412" s="676" t="s">
        <v>61</v>
      </c>
      <c r="G412" s="677" t="s">
        <v>44</v>
      </c>
      <c r="H412" s="677" t="s">
        <v>36</v>
      </c>
      <c r="I412" s="678" t="s">
        <v>312</v>
      </c>
      <c r="J412" s="15" t="s">
        <v>75</v>
      </c>
      <c r="K412" s="29">
        <v>7563.1</v>
      </c>
      <c r="L412" s="29">
        <f>M412-K412</f>
        <v>0</v>
      </c>
      <c r="M412" s="29">
        <v>7563.1</v>
      </c>
      <c r="N412" s="29">
        <v>7563.1</v>
      </c>
    </row>
    <row r="413" spans="1:14" s="12" customFormat="1" ht="18" x14ac:dyDescent="0.35">
      <c r="A413" s="16"/>
      <c r="B413" s="497" t="s">
        <v>183</v>
      </c>
      <c r="C413" s="28" t="s">
        <v>310</v>
      </c>
      <c r="D413" s="15" t="s">
        <v>220</v>
      </c>
      <c r="E413" s="15" t="s">
        <v>77</v>
      </c>
      <c r="F413" s="676"/>
      <c r="G413" s="677"/>
      <c r="H413" s="677"/>
      <c r="I413" s="678"/>
      <c r="J413" s="15"/>
      <c r="K413" s="29">
        <f t="shared" ref="K413:N417" si="153">K414</f>
        <v>450</v>
      </c>
      <c r="L413" s="29">
        <f t="shared" si="153"/>
        <v>0</v>
      </c>
      <c r="M413" s="29">
        <f t="shared" si="153"/>
        <v>450</v>
      </c>
      <c r="N413" s="29">
        <f t="shared" si="153"/>
        <v>450</v>
      </c>
    </row>
    <row r="414" spans="1:14" s="12" customFormat="1" ht="54" x14ac:dyDescent="0.35">
      <c r="A414" s="16"/>
      <c r="B414" s="546" t="s">
        <v>210</v>
      </c>
      <c r="C414" s="28" t="s">
        <v>310</v>
      </c>
      <c r="D414" s="15" t="s">
        <v>220</v>
      </c>
      <c r="E414" s="15" t="s">
        <v>77</v>
      </c>
      <c r="F414" s="676" t="s">
        <v>61</v>
      </c>
      <c r="G414" s="677" t="s">
        <v>41</v>
      </c>
      <c r="H414" s="677" t="s">
        <v>42</v>
      </c>
      <c r="I414" s="678" t="s">
        <v>43</v>
      </c>
      <c r="J414" s="15"/>
      <c r="K414" s="29">
        <f t="shared" si="153"/>
        <v>450</v>
      </c>
      <c r="L414" s="29">
        <f t="shared" si="153"/>
        <v>0</v>
      </c>
      <c r="M414" s="29">
        <f t="shared" si="153"/>
        <v>450</v>
      </c>
      <c r="N414" s="29">
        <f t="shared" si="153"/>
        <v>450</v>
      </c>
    </row>
    <row r="415" spans="1:14" s="12" customFormat="1" ht="72" x14ac:dyDescent="0.35">
      <c r="A415" s="16"/>
      <c r="B415" s="546" t="s">
        <v>211</v>
      </c>
      <c r="C415" s="28" t="s">
        <v>310</v>
      </c>
      <c r="D415" s="15" t="s">
        <v>220</v>
      </c>
      <c r="E415" s="15" t="s">
        <v>77</v>
      </c>
      <c r="F415" s="676" t="s">
        <v>61</v>
      </c>
      <c r="G415" s="677" t="s">
        <v>44</v>
      </c>
      <c r="H415" s="677" t="s">
        <v>42</v>
      </c>
      <c r="I415" s="678" t="s">
        <v>43</v>
      </c>
      <c r="J415" s="15"/>
      <c r="K415" s="29">
        <f t="shared" si="153"/>
        <v>450</v>
      </c>
      <c r="L415" s="29">
        <f t="shared" si="153"/>
        <v>0</v>
      </c>
      <c r="M415" s="29">
        <f t="shared" si="153"/>
        <v>450</v>
      </c>
      <c r="N415" s="29">
        <f t="shared" si="153"/>
        <v>450</v>
      </c>
    </row>
    <row r="416" spans="1:14" s="12" customFormat="1" ht="18" x14ac:dyDescent="0.35">
      <c r="A416" s="16"/>
      <c r="B416" s="504" t="s">
        <v>273</v>
      </c>
      <c r="C416" s="28" t="s">
        <v>310</v>
      </c>
      <c r="D416" s="15" t="s">
        <v>220</v>
      </c>
      <c r="E416" s="15" t="s">
        <v>77</v>
      </c>
      <c r="F416" s="676" t="s">
        <v>61</v>
      </c>
      <c r="G416" s="677" t="s">
        <v>44</v>
      </c>
      <c r="H416" s="677" t="s">
        <v>38</v>
      </c>
      <c r="I416" s="678" t="s">
        <v>43</v>
      </c>
      <c r="J416" s="15"/>
      <c r="K416" s="29">
        <f>K417</f>
        <v>450</v>
      </c>
      <c r="L416" s="29">
        <f t="shared" si="153"/>
        <v>0</v>
      </c>
      <c r="M416" s="29">
        <f>M417</f>
        <v>450</v>
      </c>
      <c r="N416" s="29">
        <f>N417</f>
        <v>450</v>
      </c>
    </row>
    <row r="417" spans="1:14" s="12" customFormat="1" ht="36" x14ac:dyDescent="0.35">
      <c r="A417" s="16"/>
      <c r="B417" s="504" t="s">
        <v>208</v>
      </c>
      <c r="C417" s="28" t="s">
        <v>310</v>
      </c>
      <c r="D417" s="15" t="s">
        <v>220</v>
      </c>
      <c r="E417" s="15" t="s">
        <v>77</v>
      </c>
      <c r="F417" s="676" t="s">
        <v>61</v>
      </c>
      <c r="G417" s="677" t="s">
        <v>44</v>
      </c>
      <c r="H417" s="677" t="s">
        <v>38</v>
      </c>
      <c r="I417" s="678" t="s">
        <v>275</v>
      </c>
      <c r="J417" s="15"/>
      <c r="K417" s="29">
        <f t="shared" si="153"/>
        <v>450</v>
      </c>
      <c r="L417" s="29">
        <f t="shared" si="153"/>
        <v>0</v>
      </c>
      <c r="M417" s="29">
        <f t="shared" si="153"/>
        <v>450</v>
      </c>
      <c r="N417" s="29">
        <f t="shared" si="153"/>
        <v>450</v>
      </c>
    </row>
    <row r="418" spans="1:14" s="12" customFormat="1" ht="36" x14ac:dyDescent="0.35">
      <c r="A418" s="16"/>
      <c r="B418" s="504" t="s">
        <v>118</v>
      </c>
      <c r="C418" s="28" t="s">
        <v>310</v>
      </c>
      <c r="D418" s="15" t="s">
        <v>220</v>
      </c>
      <c r="E418" s="15" t="s">
        <v>77</v>
      </c>
      <c r="F418" s="676" t="s">
        <v>61</v>
      </c>
      <c r="G418" s="677" t="s">
        <v>44</v>
      </c>
      <c r="H418" s="677" t="s">
        <v>38</v>
      </c>
      <c r="I418" s="678" t="s">
        <v>275</v>
      </c>
      <c r="J418" s="15" t="s">
        <v>119</v>
      </c>
      <c r="K418" s="29">
        <v>450</v>
      </c>
      <c r="L418" s="29">
        <f>M418-K418</f>
        <v>0</v>
      </c>
      <c r="M418" s="29">
        <v>450</v>
      </c>
      <c r="N418" s="29">
        <v>450</v>
      </c>
    </row>
    <row r="419" spans="1:14" s="12" customFormat="1" ht="18" x14ac:dyDescent="0.35">
      <c r="A419" s="16"/>
      <c r="B419" s="497" t="s">
        <v>185</v>
      </c>
      <c r="C419" s="28" t="s">
        <v>310</v>
      </c>
      <c r="D419" s="15" t="s">
        <v>222</v>
      </c>
      <c r="E419" s="15"/>
      <c r="F419" s="676"/>
      <c r="G419" s="677"/>
      <c r="H419" s="677"/>
      <c r="I419" s="678"/>
      <c r="J419" s="15"/>
      <c r="K419" s="29">
        <f>K420+K439</f>
        <v>44213</v>
      </c>
      <c r="L419" s="29">
        <f t="shared" ref="L419" si="154">L420+L439</f>
        <v>0</v>
      </c>
      <c r="M419" s="29">
        <f>M420+M439</f>
        <v>44213</v>
      </c>
      <c r="N419" s="29">
        <f>N420+N439</f>
        <v>44197</v>
      </c>
    </row>
    <row r="420" spans="1:14" s="12" customFormat="1" ht="18" x14ac:dyDescent="0.35">
      <c r="A420" s="16"/>
      <c r="B420" s="497" t="s">
        <v>187</v>
      </c>
      <c r="C420" s="28" t="s">
        <v>310</v>
      </c>
      <c r="D420" s="15" t="s">
        <v>222</v>
      </c>
      <c r="E420" s="15" t="s">
        <v>36</v>
      </c>
      <c r="F420" s="676"/>
      <c r="G420" s="677"/>
      <c r="H420" s="677"/>
      <c r="I420" s="678"/>
      <c r="J420" s="15"/>
      <c r="K420" s="29">
        <f>K421</f>
        <v>32058.3</v>
      </c>
      <c r="L420" s="29">
        <f t="shared" ref="L420" si="155">L421</f>
        <v>0</v>
      </c>
      <c r="M420" s="29">
        <f>M421</f>
        <v>32058.3</v>
      </c>
      <c r="N420" s="29">
        <f>N421</f>
        <v>32037.599999999999</v>
      </c>
    </row>
    <row r="421" spans="1:14" s="12" customFormat="1" ht="54" x14ac:dyDescent="0.35">
      <c r="A421" s="16"/>
      <c r="B421" s="546" t="s">
        <v>210</v>
      </c>
      <c r="C421" s="28" t="s">
        <v>310</v>
      </c>
      <c r="D421" s="15" t="s">
        <v>222</v>
      </c>
      <c r="E421" s="15" t="s">
        <v>36</v>
      </c>
      <c r="F421" s="676" t="s">
        <v>61</v>
      </c>
      <c r="G421" s="677" t="s">
        <v>41</v>
      </c>
      <c r="H421" s="677" t="s">
        <v>42</v>
      </c>
      <c r="I421" s="678" t="s">
        <v>43</v>
      </c>
      <c r="J421" s="15"/>
      <c r="K421" s="29">
        <f>K422+K433</f>
        <v>32058.3</v>
      </c>
      <c r="L421" s="29">
        <f t="shared" ref="L421" si="156">L422+L433</f>
        <v>0</v>
      </c>
      <c r="M421" s="29">
        <f>M422+M433</f>
        <v>32058.3</v>
      </c>
      <c r="N421" s="29">
        <f>N422+N433</f>
        <v>32037.599999999999</v>
      </c>
    </row>
    <row r="422" spans="1:14" s="12" customFormat="1" ht="72" x14ac:dyDescent="0.35">
      <c r="A422" s="16"/>
      <c r="B422" s="546" t="s">
        <v>211</v>
      </c>
      <c r="C422" s="28" t="s">
        <v>310</v>
      </c>
      <c r="D422" s="15" t="s">
        <v>222</v>
      </c>
      <c r="E422" s="15" t="s">
        <v>36</v>
      </c>
      <c r="F422" s="32" t="s">
        <v>61</v>
      </c>
      <c r="G422" s="93" t="s">
        <v>44</v>
      </c>
      <c r="H422" s="93" t="s">
        <v>42</v>
      </c>
      <c r="I422" s="94" t="s">
        <v>43</v>
      </c>
      <c r="J422" s="95"/>
      <c r="K422" s="29">
        <f>K423+K430</f>
        <v>31579.599999999999</v>
      </c>
      <c r="L422" s="29">
        <f t="shared" ref="L422" si="157">L423+L430</f>
        <v>0</v>
      </c>
      <c r="M422" s="29">
        <f>M423+M430</f>
        <v>31579.599999999999</v>
      </c>
      <c r="N422" s="29">
        <f>N423+N430</f>
        <v>31578.799999999999</v>
      </c>
    </row>
    <row r="423" spans="1:14" s="12" customFormat="1" ht="18" x14ac:dyDescent="0.35">
      <c r="A423" s="16"/>
      <c r="B423" s="497" t="s">
        <v>313</v>
      </c>
      <c r="C423" s="28" t="s">
        <v>310</v>
      </c>
      <c r="D423" s="15" t="s">
        <v>222</v>
      </c>
      <c r="E423" s="15" t="s">
        <v>36</v>
      </c>
      <c r="F423" s="32" t="s">
        <v>61</v>
      </c>
      <c r="G423" s="93" t="s">
        <v>44</v>
      </c>
      <c r="H423" s="93" t="s">
        <v>61</v>
      </c>
      <c r="I423" s="94" t="s">
        <v>43</v>
      </c>
      <c r="J423" s="95"/>
      <c r="K423" s="29">
        <f>K424+K426+K428</f>
        <v>16259.3</v>
      </c>
      <c r="L423" s="29">
        <f t="shared" ref="L423" si="158">L424+L426+L428</f>
        <v>0</v>
      </c>
      <c r="M423" s="29">
        <f>M424+M426+M428</f>
        <v>16259.3</v>
      </c>
      <c r="N423" s="29">
        <f>N424+N426+N428</f>
        <v>16231</v>
      </c>
    </row>
    <row r="424" spans="1:14" s="12" customFormat="1" ht="36" x14ac:dyDescent="0.35">
      <c r="A424" s="16"/>
      <c r="B424" s="573" t="s">
        <v>454</v>
      </c>
      <c r="C424" s="28" t="s">
        <v>310</v>
      </c>
      <c r="D424" s="15" t="s">
        <v>222</v>
      </c>
      <c r="E424" s="15" t="s">
        <v>36</v>
      </c>
      <c r="F424" s="32" t="s">
        <v>61</v>
      </c>
      <c r="G424" s="93" t="s">
        <v>44</v>
      </c>
      <c r="H424" s="93" t="s">
        <v>61</v>
      </c>
      <c r="I424" s="94" t="s">
        <v>89</v>
      </c>
      <c r="J424" s="95"/>
      <c r="K424" s="29">
        <f t="shared" ref="K424:N424" si="159">K425</f>
        <v>15497.9</v>
      </c>
      <c r="L424" s="29">
        <f t="shared" si="159"/>
        <v>0</v>
      </c>
      <c r="M424" s="29">
        <f t="shared" si="159"/>
        <v>15497.9</v>
      </c>
      <c r="N424" s="29">
        <f t="shared" si="159"/>
        <v>15458</v>
      </c>
    </row>
    <row r="425" spans="1:14" s="12" customFormat="1" ht="54" x14ac:dyDescent="0.35">
      <c r="A425" s="16"/>
      <c r="B425" s="504" t="s">
        <v>74</v>
      </c>
      <c r="C425" s="28" t="s">
        <v>310</v>
      </c>
      <c r="D425" s="15" t="s">
        <v>222</v>
      </c>
      <c r="E425" s="15" t="s">
        <v>36</v>
      </c>
      <c r="F425" s="676" t="s">
        <v>61</v>
      </c>
      <c r="G425" s="677" t="s">
        <v>44</v>
      </c>
      <c r="H425" s="677" t="s">
        <v>61</v>
      </c>
      <c r="I425" s="678" t="s">
        <v>89</v>
      </c>
      <c r="J425" s="15" t="s">
        <v>75</v>
      </c>
      <c r="K425" s="29">
        <f>15492.5+5.4</f>
        <v>15497.9</v>
      </c>
      <c r="L425" s="29">
        <f>M425-K425</f>
        <v>0</v>
      </c>
      <c r="M425" s="29">
        <f>15492.5+5.4</f>
        <v>15497.9</v>
      </c>
      <c r="N425" s="29">
        <f>15503.2-45.2</f>
        <v>15458</v>
      </c>
    </row>
    <row r="426" spans="1:14" s="12" customFormat="1" ht="36" x14ac:dyDescent="0.35">
      <c r="A426" s="16"/>
      <c r="B426" s="504" t="s">
        <v>311</v>
      </c>
      <c r="C426" s="28" t="s">
        <v>310</v>
      </c>
      <c r="D426" s="15" t="s">
        <v>222</v>
      </c>
      <c r="E426" s="15" t="s">
        <v>36</v>
      </c>
      <c r="F426" s="676" t="s">
        <v>61</v>
      </c>
      <c r="G426" s="677" t="s">
        <v>44</v>
      </c>
      <c r="H426" s="677" t="s">
        <v>61</v>
      </c>
      <c r="I426" s="678" t="s">
        <v>312</v>
      </c>
      <c r="J426" s="15"/>
      <c r="K426" s="29">
        <f>K427</f>
        <v>321.8</v>
      </c>
      <c r="L426" s="29">
        <f t="shared" ref="L426" si="160">L427</f>
        <v>0</v>
      </c>
      <c r="M426" s="29">
        <f>M427</f>
        <v>321.8</v>
      </c>
      <c r="N426" s="29">
        <f>N427</f>
        <v>321.8</v>
      </c>
    </row>
    <row r="427" spans="1:14" s="12" customFormat="1" ht="54" x14ac:dyDescent="0.35">
      <c r="A427" s="16"/>
      <c r="B427" s="504" t="s">
        <v>74</v>
      </c>
      <c r="C427" s="28" t="s">
        <v>310</v>
      </c>
      <c r="D427" s="15" t="s">
        <v>222</v>
      </c>
      <c r="E427" s="15" t="s">
        <v>36</v>
      </c>
      <c r="F427" s="676" t="s">
        <v>61</v>
      </c>
      <c r="G427" s="677" t="s">
        <v>44</v>
      </c>
      <c r="H427" s="677" t="s">
        <v>61</v>
      </c>
      <c r="I427" s="678" t="s">
        <v>312</v>
      </c>
      <c r="J427" s="15" t="s">
        <v>75</v>
      </c>
      <c r="K427" s="29">
        <f>321.8</f>
        <v>321.8</v>
      </c>
      <c r="L427" s="29">
        <f>M427-K427</f>
        <v>0</v>
      </c>
      <c r="M427" s="29">
        <f>321.8</f>
        <v>321.8</v>
      </c>
      <c r="N427" s="29">
        <v>321.8</v>
      </c>
    </row>
    <row r="428" spans="1:14" s="12" customFormat="1" ht="18" x14ac:dyDescent="0.35">
      <c r="A428" s="16"/>
      <c r="B428" s="504" t="s">
        <v>520</v>
      </c>
      <c r="C428" s="28" t="s">
        <v>310</v>
      </c>
      <c r="D428" s="15" t="s">
        <v>222</v>
      </c>
      <c r="E428" s="15" t="s">
        <v>36</v>
      </c>
      <c r="F428" s="676" t="s">
        <v>61</v>
      </c>
      <c r="G428" s="677" t="s">
        <v>44</v>
      </c>
      <c r="H428" s="677" t="s">
        <v>61</v>
      </c>
      <c r="I428" s="678" t="s">
        <v>519</v>
      </c>
      <c r="J428" s="15"/>
      <c r="K428" s="29">
        <f>K429</f>
        <v>439.6</v>
      </c>
      <c r="L428" s="29">
        <f t="shared" ref="L428" si="161">L429</f>
        <v>0</v>
      </c>
      <c r="M428" s="29">
        <f>M429</f>
        <v>439.6</v>
      </c>
      <c r="N428" s="29">
        <f>N429</f>
        <v>451.2</v>
      </c>
    </row>
    <row r="429" spans="1:14" s="12" customFormat="1" ht="54" x14ac:dyDescent="0.35">
      <c r="A429" s="16"/>
      <c r="B429" s="504" t="s">
        <v>74</v>
      </c>
      <c r="C429" s="28" t="s">
        <v>310</v>
      </c>
      <c r="D429" s="15" t="s">
        <v>222</v>
      </c>
      <c r="E429" s="15" t="s">
        <v>36</v>
      </c>
      <c r="F429" s="676" t="s">
        <v>61</v>
      </c>
      <c r="G429" s="677" t="s">
        <v>44</v>
      </c>
      <c r="H429" s="677" t="s">
        <v>61</v>
      </c>
      <c r="I429" s="678" t="s">
        <v>519</v>
      </c>
      <c r="J429" s="15" t="s">
        <v>75</v>
      </c>
      <c r="K429" s="29">
        <f>395.6+49.4-5.4</f>
        <v>439.6</v>
      </c>
      <c r="L429" s="29">
        <f>M429-K429</f>
        <v>0</v>
      </c>
      <c r="M429" s="29">
        <f>395.6+49.4-5.4</f>
        <v>439.6</v>
      </c>
      <c r="N429" s="29">
        <f>406+45.2</f>
        <v>451.2</v>
      </c>
    </row>
    <row r="430" spans="1:14" s="12" customFormat="1" ht="36" x14ac:dyDescent="0.35">
      <c r="A430" s="16"/>
      <c r="B430" s="504" t="s">
        <v>315</v>
      </c>
      <c r="C430" s="28" t="s">
        <v>310</v>
      </c>
      <c r="D430" s="15" t="s">
        <v>222</v>
      </c>
      <c r="E430" s="15" t="s">
        <v>36</v>
      </c>
      <c r="F430" s="32" t="s">
        <v>61</v>
      </c>
      <c r="G430" s="93" t="s">
        <v>44</v>
      </c>
      <c r="H430" s="93" t="s">
        <v>50</v>
      </c>
      <c r="I430" s="678" t="s">
        <v>43</v>
      </c>
      <c r="J430" s="15"/>
      <c r="K430" s="29">
        <f t="shared" ref="K430:N431" si="162">K431</f>
        <v>15320.3</v>
      </c>
      <c r="L430" s="29">
        <f t="shared" si="162"/>
        <v>0</v>
      </c>
      <c r="M430" s="29">
        <f t="shared" si="162"/>
        <v>15320.3</v>
      </c>
      <c r="N430" s="29">
        <f t="shared" si="162"/>
        <v>15347.8</v>
      </c>
    </row>
    <row r="431" spans="1:14" s="12" customFormat="1" ht="36" x14ac:dyDescent="0.35">
      <c r="A431" s="16"/>
      <c r="B431" s="573" t="s">
        <v>454</v>
      </c>
      <c r="C431" s="28" t="s">
        <v>310</v>
      </c>
      <c r="D431" s="15" t="s">
        <v>222</v>
      </c>
      <c r="E431" s="15" t="s">
        <v>36</v>
      </c>
      <c r="F431" s="32" t="s">
        <v>61</v>
      </c>
      <c r="G431" s="93" t="s">
        <v>44</v>
      </c>
      <c r="H431" s="93" t="s">
        <v>50</v>
      </c>
      <c r="I431" s="94" t="s">
        <v>89</v>
      </c>
      <c r="J431" s="95"/>
      <c r="K431" s="29">
        <f t="shared" si="162"/>
        <v>15320.3</v>
      </c>
      <c r="L431" s="29">
        <f t="shared" si="162"/>
        <v>0</v>
      </c>
      <c r="M431" s="29">
        <f t="shared" si="162"/>
        <v>15320.3</v>
      </c>
      <c r="N431" s="29">
        <f t="shared" si="162"/>
        <v>15347.8</v>
      </c>
    </row>
    <row r="432" spans="1:14" s="12" customFormat="1" ht="108" x14ac:dyDescent="0.35">
      <c r="A432" s="16"/>
      <c r="B432" s="497" t="s">
        <v>48</v>
      </c>
      <c r="C432" s="28" t="s">
        <v>310</v>
      </c>
      <c r="D432" s="15" t="s">
        <v>222</v>
      </c>
      <c r="E432" s="15" t="s">
        <v>36</v>
      </c>
      <c r="F432" s="676" t="s">
        <v>61</v>
      </c>
      <c r="G432" s="677" t="s">
        <v>44</v>
      </c>
      <c r="H432" s="677" t="s">
        <v>50</v>
      </c>
      <c r="I432" s="678" t="s">
        <v>89</v>
      </c>
      <c r="J432" s="15" t="s">
        <v>49</v>
      </c>
      <c r="K432" s="29">
        <v>15320.3</v>
      </c>
      <c r="L432" s="29">
        <f>M432-K432</f>
        <v>0</v>
      </c>
      <c r="M432" s="29">
        <v>15320.3</v>
      </c>
      <c r="N432" s="29">
        <v>15347.8</v>
      </c>
    </row>
    <row r="433" spans="1:14" s="12" customFormat="1" ht="54" x14ac:dyDescent="0.35">
      <c r="A433" s="16"/>
      <c r="B433" s="497" t="s">
        <v>323</v>
      </c>
      <c r="C433" s="28" t="s">
        <v>310</v>
      </c>
      <c r="D433" s="15" t="s">
        <v>222</v>
      </c>
      <c r="E433" s="15" t="s">
        <v>36</v>
      </c>
      <c r="F433" s="32" t="s">
        <v>61</v>
      </c>
      <c r="G433" s="93" t="s">
        <v>87</v>
      </c>
      <c r="H433" s="93" t="s">
        <v>42</v>
      </c>
      <c r="I433" s="678" t="s">
        <v>43</v>
      </c>
      <c r="J433" s="15"/>
      <c r="K433" s="29">
        <f>K434</f>
        <v>478.7</v>
      </c>
      <c r="L433" s="29">
        <f t="shared" ref="L433" si="163">L434</f>
        <v>0</v>
      </c>
      <c r="M433" s="29">
        <f>M434</f>
        <v>478.7</v>
      </c>
      <c r="N433" s="29">
        <f>N434</f>
        <v>458.8</v>
      </c>
    </row>
    <row r="434" spans="1:14" s="12" customFormat="1" ht="90" x14ac:dyDescent="0.35">
      <c r="A434" s="16"/>
      <c r="B434" s="504" t="s">
        <v>316</v>
      </c>
      <c r="C434" s="28" t="s">
        <v>310</v>
      </c>
      <c r="D434" s="15" t="s">
        <v>222</v>
      </c>
      <c r="E434" s="15" t="s">
        <v>36</v>
      </c>
      <c r="F434" s="32" t="s">
        <v>61</v>
      </c>
      <c r="G434" s="93" t="s">
        <v>87</v>
      </c>
      <c r="H434" s="93" t="s">
        <v>61</v>
      </c>
      <c r="I434" s="678" t="s">
        <v>43</v>
      </c>
      <c r="J434" s="15"/>
      <c r="K434" s="29">
        <f>K437+K435</f>
        <v>478.7</v>
      </c>
      <c r="L434" s="29">
        <f t="shared" ref="L434" si="164">L437+L435</f>
        <v>0</v>
      </c>
      <c r="M434" s="29">
        <f>M437+M435</f>
        <v>478.7</v>
      </c>
      <c r="N434" s="29">
        <f>N437+N435</f>
        <v>458.8</v>
      </c>
    </row>
    <row r="435" spans="1:14" s="12" customFormat="1" ht="36" x14ac:dyDescent="0.35">
      <c r="A435" s="16"/>
      <c r="B435" s="504" t="s">
        <v>311</v>
      </c>
      <c r="C435" s="28" t="s">
        <v>310</v>
      </c>
      <c r="D435" s="15" t="s">
        <v>222</v>
      </c>
      <c r="E435" s="15" t="s">
        <v>36</v>
      </c>
      <c r="F435" s="32" t="s">
        <v>61</v>
      </c>
      <c r="G435" s="93" t="s">
        <v>87</v>
      </c>
      <c r="H435" s="93" t="s">
        <v>61</v>
      </c>
      <c r="I435" s="678" t="s">
        <v>312</v>
      </c>
      <c r="J435" s="15"/>
      <c r="K435" s="29">
        <f>K436</f>
        <v>434.3</v>
      </c>
      <c r="L435" s="29">
        <f t="shared" ref="L435" si="165">L436</f>
        <v>0</v>
      </c>
      <c r="M435" s="29">
        <f>M436</f>
        <v>434.3</v>
      </c>
      <c r="N435" s="29">
        <f>N436</f>
        <v>414.40000000000003</v>
      </c>
    </row>
    <row r="436" spans="1:14" s="12" customFormat="1" ht="54" x14ac:dyDescent="0.35">
      <c r="A436" s="16"/>
      <c r="B436" s="497" t="s">
        <v>53</v>
      </c>
      <c r="C436" s="28" t="s">
        <v>310</v>
      </c>
      <c r="D436" s="15" t="s">
        <v>222</v>
      </c>
      <c r="E436" s="15" t="s">
        <v>36</v>
      </c>
      <c r="F436" s="32" t="s">
        <v>61</v>
      </c>
      <c r="G436" s="93" t="s">
        <v>87</v>
      </c>
      <c r="H436" s="93" t="s">
        <v>61</v>
      </c>
      <c r="I436" s="678" t="s">
        <v>312</v>
      </c>
      <c r="J436" s="15" t="s">
        <v>54</v>
      </c>
      <c r="K436" s="29">
        <f>418.8+15.5</f>
        <v>434.3</v>
      </c>
      <c r="L436" s="29">
        <f>M436-K436</f>
        <v>0</v>
      </c>
      <c r="M436" s="29">
        <f>418.8+15.5</f>
        <v>434.3</v>
      </c>
      <c r="N436" s="29">
        <f>418.8-4.4</f>
        <v>414.40000000000003</v>
      </c>
    </row>
    <row r="437" spans="1:14" s="12" customFormat="1" ht="288" x14ac:dyDescent="0.35">
      <c r="A437" s="16"/>
      <c r="B437" s="504" t="s">
        <v>590</v>
      </c>
      <c r="C437" s="28" t="s">
        <v>310</v>
      </c>
      <c r="D437" s="15" t="s">
        <v>222</v>
      </c>
      <c r="E437" s="15" t="s">
        <v>36</v>
      </c>
      <c r="F437" s="676" t="s">
        <v>61</v>
      </c>
      <c r="G437" s="677" t="s">
        <v>87</v>
      </c>
      <c r="H437" s="677" t="s">
        <v>61</v>
      </c>
      <c r="I437" s="678" t="s">
        <v>407</v>
      </c>
      <c r="J437" s="15"/>
      <c r="K437" s="29">
        <f>K438</f>
        <v>44.4</v>
      </c>
      <c r="L437" s="29">
        <f t="shared" ref="L437" si="166">L438</f>
        <v>0</v>
      </c>
      <c r="M437" s="29">
        <f>M438</f>
        <v>44.4</v>
      </c>
      <c r="N437" s="29">
        <f>N438</f>
        <v>44.4</v>
      </c>
    </row>
    <row r="438" spans="1:14" s="12" customFormat="1" ht="54" x14ac:dyDescent="0.35">
      <c r="A438" s="16"/>
      <c r="B438" s="504" t="s">
        <v>74</v>
      </c>
      <c r="C438" s="28" t="s">
        <v>310</v>
      </c>
      <c r="D438" s="15" t="s">
        <v>222</v>
      </c>
      <c r="E438" s="15" t="s">
        <v>36</v>
      </c>
      <c r="F438" s="676" t="s">
        <v>61</v>
      </c>
      <c r="G438" s="677" t="s">
        <v>87</v>
      </c>
      <c r="H438" s="677" t="s">
        <v>61</v>
      </c>
      <c r="I438" s="678" t="s">
        <v>407</v>
      </c>
      <c r="J438" s="15" t="s">
        <v>75</v>
      </c>
      <c r="K438" s="29">
        <f>40+4.4</f>
        <v>44.4</v>
      </c>
      <c r="L438" s="29">
        <f>M438-K438</f>
        <v>0</v>
      </c>
      <c r="M438" s="29">
        <f>40+4.4</f>
        <v>44.4</v>
      </c>
      <c r="N438" s="29">
        <f>40+4.4</f>
        <v>44.4</v>
      </c>
    </row>
    <row r="439" spans="1:14" s="12" customFormat="1" ht="36" x14ac:dyDescent="0.35">
      <c r="A439" s="16"/>
      <c r="B439" s="497" t="s">
        <v>317</v>
      </c>
      <c r="C439" s="28" t="s">
        <v>310</v>
      </c>
      <c r="D439" s="15" t="s">
        <v>222</v>
      </c>
      <c r="E439" s="15" t="s">
        <v>50</v>
      </c>
      <c r="F439" s="32"/>
      <c r="G439" s="93"/>
      <c r="H439" s="93"/>
      <c r="I439" s="94"/>
      <c r="J439" s="95"/>
      <c r="K439" s="29">
        <f t="shared" ref="K439:N441" si="167">K440</f>
        <v>12154.7</v>
      </c>
      <c r="L439" s="29">
        <f t="shared" si="167"/>
        <v>0</v>
      </c>
      <c r="M439" s="29">
        <f t="shared" si="167"/>
        <v>12154.7</v>
      </c>
      <c r="N439" s="29">
        <f t="shared" si="167"/>
        <v>12159.400000000001</v>
      </c>
    </row>
    <row r="440" spans="1:14" s="12" customFormat="1" ht="54" x14ac:dyDescent="0.35">
      <c r="A440" s="16"/>
      <c r="B440" s="546" t="s">
        <v>210</v>
      </c>
      <c r="C440" s="28" t="s">
        <v>310</v>
      </c>
      <c r="D440" s="15" t="s">
        <v>222</v>
      </c>
      <c r="E440" s="15" t="s">
        <v>50</v>
      </c>
      <c r="F440" s="32" t="s">
        <v>61</v>
      </c>
      <c r="G440" s="93" t="s">
        <v>41</v>
      </c>
      <c r="H440" s="93" t="s">
        <v>42</v>
      </c>
      <c r="I440" s="94" t="s">
        <v>43</v>
      </c>
      <c r="J440" s="95"/>
      <c r="K440" s="29">
        <f t="shared" si="167"/>
        <v>12154.7</v>
      </c>
      <c r="L440" s="29">
        <f t="shared" si="167"/>
        <v>0</v>
      </c>
      <c r="M440" s="29">
        <f t="shared" si="167"/>
        <v>12154.7</v>
      </c>
      <c r="N440" s="29">
        <f t="shared" si="167"/>
        <v>12159.400000000001</v>
      </c>
    </row>
    <row r="441" spans="1:14" s="12" customFormat="1" ht="54" x14ac:dyDescent="0.35">
      <c r="A441" s="16"/>
      <c r="B441" s="497" t="s">
        <v>212</v>
      </c>
      <c r="C441" s="28" t="s">
        <v>310</v>
      </c>
      <c r="D441" s="15" t="s">
        <v>222</v>
      </c>
      <c r="E441" s="15" t="s">
        <v>50</v>
      </c>
      <c r="F441" s="676" t="s">
        <v>61</v>
      </c>
      <c r="G441" s="677" t="s">
        <v>29</v>
      </c>
      <c r="H441" s="677" t="s">
        <v>42</v>
      </c>
      <c r="I441" s="678" t="s">
        <v>43</v>
      </c>
      <c r="J441" s="15"/>
      <c r="K441" s="29">
        <f t="shared" si="167"/>
        <v>12154.7</v>
      </c>
      <c r="L441" s="29">
        <f t="shared" si="167"/>
        <v>0</v>
      </c>
      <c r="M441" s="29">
        <f t="shared" si="167"/>
        <v>12154.7</v>
      </c>
      <c r="N441" s="29">
        <f t="shared" si="167"/>
        <v>12159.400000000001</v>
      </c>
    </row>
    <row r="442" spans="1:14" s="12" customFormat="1" ht="36" x14ac:dyDescent="0.35">
      <c r="A442" s="16"/>
      <c r="B442" s="497" t="s">
        <v>278</v>
      </c>
      <c r="C442" s="28" t="s">
        <v>310</v>
      </c>
      <c r="D442" s="15" t="s">
        <v>222</v>
      </c>
      <c r="E442" s="15" t="s">
        <v>50</v>
      </c>
      <c r="F442" s="676" t="s">
        <v>61</v>
      </c>
      <c r="G442" s="677" t="s">
        <v>29</v>
      </c>
      <c r="H442" s="677" t="s">
        <v>36</v>
      </c>
      <c r="I442" s="678" t="s">
        <v>43</v>
      </c>
      <c r="J442" s="15"/>
      <c r="K442" s="29">
        <f>K443+K447</f>
        <v>12154.7</v>
      </c>
      <c r="L442" s="29">
        <f t="shared" ref="L442" si="168">L443+L447</f>
        <v>0</v>
      </c>
      <c r="M442" s="29">
        <f>M443+M447</f>
        <v>12154.7</v>
      </c>
      <c r="N442" s="29">
        <f>N443+N447</f>
        <v>12159.400000000001</v>
      </c>
    </row>
    <row r="443" spans="1:14" s="12" customFormat="1" ht="36" x14ac:dyDescent="0.35">
      <c r="A443" s="16"/>
      <c r="B443" s="497" t="s">
        <v>46</v>
      </c>
      <c r="C443" s="28" t="s">
        <v>310</v>
      </c>
      <c r="D443" s="15" t="s">
        <v>222</v>
      </c>
      <c r="E443" s="15" t="s">
        <v>50</v>
      </c>
      <c r="F443" s="676" t="s">
        <v>61</v>
      </c>
      <c r="G443" s="677" t="s">
        <v>29</v>
      </c>
      <c r="H443" s="677" t="s">
        <v>36</v>
      </c>
      <c r="I443" s="678" t="s">
        <v>47</v>
      </c>
      <c r="J443" s="95"/>
      <c r="K443" s="29">
        <f>K444+K445+K446</f>
        <v>3689.2000000000003</v>
      </c>
      <c r="L443" s="29">
        <f t="shared" ref="L443" si="169">L444+L445+L446</f>
        <v>0</v>
      </c>
      <c r="M443" s="29">
        <f>M444+M445+M446</f>
        <v>3689.2000000000003</v>
      </c>
      <c r="N443" s="29">
        <f>N444+N445+N446</f>
        <v>3690.2000000000003</v>
      </c>
    </row>
    <row r="444" spans="1:14" s="12" customFormat="1" ht="108" x14ac:dyDescent="0.35">
      <c r="A444" s="16"/>
      <c r="B444" s="497" t="s">
        <v>48</v>
      </c>
      <c r="C444" s="28" t="s">
        <v>310</v>
      </c>
      <c r="D444" s="15" t="s">
        <v>222</v>
      </c>
      <c r="E444" s="15" t="s">
        <v>50</v>
      </c>
      <c r="F444" s="676" t="s">
        <v>61</v>
      </c>
      <c r="G444" s="677" t="s">
        <v>29</v>
      </c>
      <c r="H444" s="677" t="s">
        <v>36</v>
      </c>
      <c r="I444" s="678" t="s">
        <v>47</v>
      </c>
      <c r="J444" s="95" t="s">
        <v>49</v>
      </c>
      <c r="K444" s="29">
        <v>3417.9</v>
      </c>
      <c r="L444" s="29">
        <f>M444-K444</f>
        <v>0</v>
      </c>
      <c r="M444" s="29">
        <v>3417.9</v>
      </c>
      <c r="N444" s="29">
        <v>3417.9</v>
      </c>
    </row>
    <row r="445" spans="1:14" s="12" customFormat="1" ht="54" x14ac:dyDescent="0.35">
      <c r="A445" s="16"/>
      <c r="B445" s="497" t="s">
        <v>53</v>
      </c>
      <c r="C445" s="28" t="s">
        <v>310</v>
      </c>
      <c r="D445" s="15" t="s">
        <v>222</v>
      </c>
      <c r="E445" s="15" t="s">
        <v>50</v>
      </c>
      <c r="F445" s="676" t="s">
        <v>61</v>
      </c>
      <c r="G445" s="677" t="s">
        <v>29</v>
      </c>
      <c r="H445" s="677" t="s">
        <v>36</v>
      </c>
      <c r="I445" s="678" t="s">
        <v>47</v>
      </c>
      <c r="J445" s="95" t="s">
        <v>54</v>
      </c>
      <c r="K445" s="29">
        <v>262.89999999999998</v>
      </c>
      <c r="L445" s="29">
        <f>M445-K445</f>
        <v>0</v>
      </c>
      <c r="M445" s="29">
        <v>262.89999999999998</v>
      </c>
      <c r="N445" s="29">
        <v>263.89999999999998</v>
      </c>
    </row>
    <row r="446" spans="1:14" s="12" customFormat="1" ht="18" x14ac:dyDescent="0.35">
      <c r="A446" s="16"/>
      <c r="B446" s="497" t="s">
        <v>55</v>
      </c>
      <c r="C446" s="28" t="s">
        <v>310</v>
      </c>
      <c r="D446" s="15" t="s">
        <v>222</v>
      </c>
      <c r="E446" s="15" t="s">
        <v>50</v>
      </c>
      <c r="F446" s="676" t="s">
        <v>61</v>
      </c>
      <c r="G446" s="677" t="s">
        <v>29</v>
      </c>
      <c r="H446" s="677" t="s">
        <v>36</v>
      </c>
      <c r="I446" s="678" t="s">
        <v>47</v>
      </c>
      <c r="J446" s="15" t="s">
        <v>56</v>
      </c>
      <c r="K446" s="29">
        <v>8.4</v>
      </c>
      <c r="L446" s="29">
        <f>M446-K446</f>
        <v>0</v>
      </c>
      <c r="M446" s="29">
        <v>8.4</v>
      </c>
      <c r="N446" s="29">
        <v>8.4</v>
      </c>
    </row>
    <row r="447" spans="1:14" s="12" customFormat="1" ht="36" x14ac:dyDescent="0.35">
      <c r="A447" s="16"/>
      <c r="B447" s="573" t="s">
        <v>454</v>
      </c>
      <c r="C447" s="28" t="s">
        <v>310</v>
      </c>
      <c r="D447" s="15" t="s">
        <v>222</v>
      </c>
      <c r="E447" s="15" t="s">
        <v>50</v>
      </c>
      <c r="F447" s="676" t="s">
        <v>61</v>
      </c>
      <c r="G447" s="677" t="s">
        <v>29</v>
      </c>
      <c r="H447" s="677" t="s">
        <v>36</v>
      </c>
      <c r="I447" s="678" t="s">
        <v>89</v>
      </c>
      <c r="J447" s="15"/>
      <c r="K447" s="29">
        <f>K448+K449+K450</f>
        <v>8465.5</v>
      </c>
      <c r="L447" s="29">
        <f t="shared" ref="L447" si="170">L448+L449+L450</f>
        <v>0</v>
      </c>
      <c r="M447" s="29">
        <f>M448+M449+M450</f>
        <v>8465.5</v>
      </c>
      <c r="N447" s="29">
        <f>N448+N449+N450</f>
        <v>8469.2000000000007</v>
      </c>
    </row>
    <row r="448" spans="1:14" s="12" customFormat="1" ht="108" x14ac:dyDescent="0.35">
      <c r="A448" s="16"/>
      <c r="B448" s="497" t="s">
        <v>48</v>
      </c>
      <c r="C448" s="148" t="s">
        <v>310</v>
      </c>
      <c r="D448" s="95" t="s">
        <v>222</v>
      </c>
      <c r="E448" s="95" t="s">
        <v>50</v>
      </c>
      <c r="F448" s="676" t="s">
        <v>61</v>
      </c>
      <c r="G448" s="677" t="s">
        <v>29</v>
      </c>
      <c r="H448" s="677" t="s">
        <v>36</v>
      </c>
      <c r="I448" s="678" t="s">
        <v>89</v>
      </c>
      <c r="J448" s="95" t="s">
        <v>49</v>
      </c>
      <c r="K448" s="29">
        <v>7800.2</v>
      </c>
      <c r="L448" s="29">
        <f>M448-K448</f>
        <v>0</v>
      </c>
      <c r="M448" s="29">
        <v>7800.2</v>
      </c>
      <c r="N448" s="29">
        <v>7800.2</v>
      </c>
    </row>
    <row r="449" spans="1:14" s="12" customFormat="1" ht="54" x14ac:dyDescent="0.35">
      <c r="A449" s="16"/>
      <c r="B449" s="497" t="s">
        <v>53</v>
      </c>
      <c r="C449" s="148" t="s">
        <v>310</v>
      </c>
      <c r="D449" s="95" t="s">
        <v>222</v>
      </c>
      <c r="E449" s="95" t="s">
        <v>50</v>
      </c>
      <c r="F449" s="676" t="s">
        <v>61</v>
      </c>
      <c r="G449" s="677" t="s">
        <v>29</v>
      </c>
      <c r="H449" s="677" t="s">
        <v>36</v>
      </c>
      <c r="I449" s="678" t="s">
        <v>89</v>
      </c>
      <c r="J449" s="95" t="s">
        <v>54</v>
      </c>
      <c r="K449" s="29">
        <v>663.8</v>
      </c>
      <c r="L449" s="29">
        <f>M449-K449</f>
        <v>0</v>
      </c>
      <c r="M449" s="29">
        <v>663.8</v>
      </c>
      <c r="N449" s="29">
        <v>667.5</v>
      </c>
    </row>
    <row r="450" spans="1:14" s="12" customFormat="1" ht="18" x14ac:dyDescent="0.35">
      <c r="A450" s="16"/>
      <c r="B450" s="497" t="s">
        <v>55</v>
      </c>
      <c r="C450" s="148" t="s">
        <v>310</v>
      </c>
      <c r="D450" s="95" t="s">
        <v>222</v>
      </c>
      <c r="E450" s="95" t="s">
        <v>50</v>
      </c>
      <c r="F450" s="676" t="s">
        <v>61</v>
      </c>
      <c r="G450" s="677" t="s">
        <v>29</v>
      </c>
      <c r="H450" s="677" t="s">
        <v>36</v>
      </c>
      <c r="I450" s="678" t="s">
        <v>89</v>
      </c>
      <c r="J450" s="15" t="s">
        <v>56</v>
      </c>
      <c r="K450" s="29">
        <v>1.5</v>
      </c>
      <c r="L450" s="29">
        <f>M450-K450</f>
        <v>0</v>
      </c>
      <c r="M450" s="29">
        <v>1.5</v>
      </c>
      <c r="N450" s="29">
        <v>1.5</v>
      </c>
    </row>
    <row r="451" spans="1:14" s="121" customFormat="1" ht="18" x14ac:dyDescent="0.35">
      <c r="A451" s="16"/>
      <c r="B451" s="497"/>
      <c r="C451" s="148"/>
      <c r="D451" s="95"/>
      <c r="E451" s="95"/>
      <c r="F451" s="676"/>
      <c r="G451" s="677"/>
      <c r="H451" s="677"/>
      <c r="I451" s="678"/>
      <c r="J451" s="15"/>
      <c r="K451" s="29"/>
      <c r="L451" s="29"/>
      <c r="M451" s="29"/>
      <c r="N451" s="29"/>
    </row>
    <row r="452" spans="1:14" s="116" customFormat="1" ht="52.2" x14ac:dyDescent="0.3">
      <c r="A452" s="115">
        <v>7</v>
      </c>
      <c r="B452" s="543" t="s">
        <v>10</v>
      </c>
      <c r="C452" s="23" t="s">
        <v>286</v>
      </c>
      <c r="D452" s="24"/>
      <c r="E452" s="24"/>
      <c r="F452" s="25"/>
      <c r="G452" s="26"/>
      <c r="H452" s="26"/>
      <c r="I452" s="27"/>
      <c r="J452" s="24"/>
      <c r="K452" s="37">
        <f>K453+K460</f>
        <v>47256.500000000007</v>
      </c>
      <c r="L452" s="37">
        <f t="shared" ref="L452" si="171">L453+L460</f>
        <v>0</v>
      </c>
      <c r="M452" s="37">
        <f>M453+M460</f>
        <v>47256.500000000007</v>
      </c>
      <c r="N452" s="37">
        <f>N453+N460</f>
        <v>46386</v>
      </c>
    </row>
    <row r="453" spans="1:14" s="116" customFormat="1" ht="18" x14ac:dyDescent="0.35">
      <c r="A453" s="115"/>
      <c r="B453" s="494" t="s">
        <v>35</v>
      </c>
      <c r="C453" s="216" t="s">
        <v>286</v>
      </c>
      <c r="D453" s="33" t="s">
        <v>36</v>
      </c>
      <c r="E453" s="33"/>
      <c r="F453" s="208"/>
      <c r="G453" s="209"/>
      <c r="H453" s="209"/>
      <c r="I453" s="210"/>
      <c r="J453" s="33"/>
      <c r="K453" s="211">
        <f t="shared" ref="K453:M458" si="172">K454</f>
        <v>51.9</v>
      </c>
      <c r="L453" s="211">
        <f t="shared" si="172"/>
        <v>0</v>
      </c>
      <c r="M453" s="211">
        <f t="shared" si="172"/>
        <v>51.9</v>
      </c>
      <c r="N453" s="211">
        <f t="shared" ref="N453:N458" si="173">N454</f>
        <v>51.9</v>
      </c>
    </row>
    <row r="454" spans="1:14" s="116" customFormat="1" ht="18" x14ac:dyDescent="0.35">
      <c r="A454" s="115"/>
      <c r="B454" s="494" t="s">
        <v>68</v>
      </c>
      <c r="C454" s="216" t="s">
        <v>286</v>
      </c>
      <c r="D454" s="33" t="s">
        <v>36</v>
      </c>
      <c r="E454" s="33" t="s">
        <v>69</v>
      </c>
      <c r="F454" s="208"/>
      <c r="G454" s="209"/>
      <c r="H454" s="209"/>
      <c r="I454" s="210"/>
      <c r="J454" s="33"/>
      <c r="K454" s="211">
        <f t="shared" si="172"/>
        <v>51.9</v>
      </c>
      <c r="L454" s="211">
        <f t="shared" si="172"/>
        <v>0</v>
      </c>
      <c r="M454" s="211">
        <f t="shared" si="172"/>
        <v>51.9</v>
      </c>
      <c r="N454" s="211">
        <f t="shared" si="173"/>
        <v>51.9</v>
      </c>
    </row>
    <row r="455" spans="1:14" s="116" customFormat="1" ht="54" x14ac:dyDescent="0.35">
      <c r="A455" s="115"/>
      <c r="B455" s="494" t="s">
        <v>213</v>
      </c>
      <c r="C455" s="216" t="s">
        <v>286</v>
      </c>
      <c r="D455" s="33" t="s">
        <v>36</v>
      </c>
      <c r="E455" s="33" t="s">
        <v>69</v>
      </c>
      <c r="F455" s="208" t="s">
        <v>50</v>
      </c>
      <c r="G455" s="209" t="s">
        <v>41</v>
      </c>
      <c r="H455" s="209" t="s">
        <v>42</v>
      </c>
      <c r="I455" s="210" t="s">
        <v>43</v>
      </c>
      <c r="J455" s="33"/>
      <c r="K455" s="211">
        <f t="shared" si="172"/>
        <v>51.9</v>
      </c>
      <c r="L455" s="211">
        <f t="shared" si="172"/>
        <v>0</v>
      </c>
      <c r="M455" s="211">
        <f t="shared" si="172"/>
        <v>51.9</v>
      </c>
      <c r="N455" s="211">
        <f t="shared" si="173"/>
        <v>51.9</v>
      </c>
    </row>
    <row r="456" spans="1:14" s="116" customFormat="1" ht="36" x14ac:dyDescent="0.35">
      <c r="A456" s="115"/>
      <c r="B456" s="494" t="s">
        <v>216</v>
      </c>
      <c r="C456" s="216" t="s">
        <v>286</v>
      </c>
      <c r="D456" s="33" t="s">
        <v>36</v>
      </c>
      <c r="E456" s="33" t="s">
        <v>69</v>
      </c>
      <c r="F456" s="208" t="s">
        <v>50</v>
      </c>
      <c r="G456" s="209" t="s">
        <v>87</v>
      </c>
      <c r="H456" s="209" t="s">
        <v>42</v>
      </c>
      <c r="I456" s="210" t="s">
        <v>43</v>
      </c>
      <c r="J456" s="33"/>
      <c r="K456" s="211">
        <f t="shared" si="172"/>
        <v>51.9</v>
      </c>
      <c r="L456" s="211">
        <f t="shared" si="172"/>
        <v>0</v>
      </c>
      <c r="M456" s="211">
        <f t="shared" si="172"/>
        <v>51.9</v>
      </c>
      <c r="N456" s="211">
        <f t="shared" si="173"/>
        <v>51.9</v>
      </c>
    </row>
    <row r="457" spans="1:14" s="116" customFormat="1" ht="36" x14ac:dyDescent="0.35">
      <c r="A457" s="115"/>
      <c r="B457" s="494" t="s">
        <v>347</v>
      </c>
      <c r="C457" s="216" t="s">
        <v>286</v>
      </c>
      <c r="D457" s="33" t="s">
        <v>36</v>
      </c>
      <c r="E457" s="33" t="s">
        <v>69</v>
      </c>
      <c r="F457" s="208" t="s">
        <v>50</v>
      </c>
      <c r="G457" s="209" t="s">
        <v>87</v>
      </c>
      <c r="H457" s="209" t="s">
        <v>61</v>
      </c>
      <c r="I457" s="210" t="s">
        <v>43</v>
      </c>
      <c r="J457" s="33"/>
      <c r="K457" s="211">
        <f t="shared" si="172"/>
        <v>51.9</v>
      </c>
      <c r="L457" s="211">
        <f t="shared" si="172"/>
        <v>0</v>
      </c>
      <c r="M457" s="211">
        <f t="shared" si="172"/>
        <v>51.9</v>
      </c>
      <c r="N457" s="211">
        <f t="shared" si="173"/>
        <v>51.9</v>
      </c>
    </row>
    <row r="458" spans="1:14" s="116" customFormat="1" ht="54" x14ac:dyDescent="0.35">
      <c r="A458" s="115"/>
      <c r="B458" s="494" t="s">
        <v>348</v>
      </c>
      <c r="C458" s="216" t="s">
        <v>286</v>
      </c>
      <c r="D458" s="33" t="s">
        <v>36</v>
      </c>
      <c r="E458" s="33" t="s">
        <v>69</v>
      </c>
      <c r="F458" s="208" t="s">
        <v>50</v>
      </c>
      <c r="G458" s="209" t="s">
        <v>87</v>
      </c>
      <c r="H458" s="209" t="s">
        <v>61</v>
      </c>
      <c r="I458" s="210" t="s">
        <v>103</v>
      </c>
      <c r="J458" s="33"/>
      <c r="K458" s="211">
        <f>K459</f>
        <v>51.9</v>
      </c>
      <c r="L458" s="211">
        <f t="shared" si="172"/>
        <v>0</v>
      </c>
      <c r="M458" s="211">
        <f>M459</f>
        <v>51.9</v>
      </c>
      <c r="N458" s="211">
        <f t="shared" si="173"/>
        <v>51.9</v>
      </c>
    </row>
    <row r="459" spans="1:14" s="12" customFormat="1" ht="54" x14ac:dyDescent="0.35">
      <c r="A459" s="16"/>
      <c r="B459" s="532" t="s">
        <v>53</v>
      </c>
      <c r="C459" s="216" t="s">
        <v>286</v>
      </c>
      <c r="D459" s="33" t="s">
        <v>36</v>
      </c>
      <c r="E459" s="33" t="s">
        <v>69</v>
      </c>
      <c r="F459" s="208" t="s">
        <v>50</v>
      </c>
      <c r="G459" s="209" t="s">
        <v>87</v>
      </c>
      <c r="H459" s="209" t="s">
        <v>61</v>
      </c>
      <c r="I459" s="210" t="s">
        <v>103</v>
      </c>
      <c r="J459" s="33" t="s">
        <v>54</v>
      </c>
      <c r="K459" s="211">
        <v>51.9</v>
      </c>
      <c r="L459" s="29">
        <f>M459-K459</f>
        <v>0</v>
      </c>
      <c r="M459" s="211">
        <v>51.9</v>
      </c>
      <c r="N459" s="29">
        <v>51.9</v>
      </c>
    </row>
    <row r="460" spans="1:14" s="12" customFormat="1" ht="18" x14ac:dyDescent="0.35">
      <c r="A460" s="16"/>
      <c r="B460" s="532" t="s">
        <v>318</v>
      </c>
      <c r="C460" s="216" t="s">
        <v>286</v>
      </c>
      <c r="D460" s="33" t="s">
        <v>65</v>
      </c>
      <c r="E460" s="33"/>
      <c r="F460" s="208"/>
      <c r="G460" s="209"/>
      <c r="H460" s="209"/>
      <c r="I460" s="210"/>
      <c r="J460" s="33"/>
      <c r="K460" s="211">
        <f>K461+K471+K495+K477</f>
        <v>47204.600000000006</v>
      </c>
      <c r="L460" s="211">
        <f t="shared" ref="L460" si="174">L461+L471+L495+L477</f>
        <v>0</v>
      </c>
      <c r="M460" s="211">
        <f>M461+M471+M495+M477</f>
        <v>47204.600000000006</v>
      </c>
      <c r="N460" s="211">
        <f>N461+N471+N495+N477</f>
        <v>46334.1</v>
      </c>
    </row>
    <row r="461" spans="1:14" s="116" customFormat="1" ht="18" x14ac:dyDescent="0.35">
      <c r="A461" s="16"/>
      <c r="B461" s="546" t="s">
        <v>356</v>
      </c>
      <c r="C461" s="28" t="s">
        <v>286</v>
      </c>
      <c r="D461" s="15" t="s">
        <v>65</v>
      </c>
      <c r="E461" s="15" t="s">
        <v>36</v>
      </c>
      <c r="F461" s="676"/>
      <c r="G461" s="677"/>
      <c r="H461" s="677"/>
      <c r="I461" s="678"/>
      <c r="J461" s="15"/>
      <c r="K461" s="29">
        <f>K462</f>
        <v>4767.8999999999996</v>
      </c>
      <c r="L461" s="29">
        <f t="shared" ref="L461" si="175">L462</f>
        <v>0</v>
      </c>
      <c r="M461" s="29">
        <f>M462</f>
        <v>4767.8999999999996</v>
      </c>
      <c r="N461" s="29">
        <f>N462</f>
        <v>4787.5999999999995</v>
      </c>
    </row>
    <row r="462" spans="1:14" s="116" customFormat="1" ht="54" x14ac:dyDescent="0.35">
      <c r="A462" s="16"/>
      <c r="B462" s="497" t="s">
        <v>213</v>
      </c>
      <c r="C462" s="28" t="s">
        <v>286</v>
      </c>
      <c r="D462" s="15" t="s">
        <v>65</v>
      </c>
      <c r="E462" s="15" t="s">
        <v>36</v>
      </c>
      <c r="F462" s="676" t="s">
        <v>50</v>
      </c>
      <c r="G462" s="677" t="s">
        <v>41</v>
      </c>
      <c r="H462" s="677" t="s">
        <v>42</v>
      </c>
      <c r="I462" s="678" t="s">
        <v>43</v>
      </c>
      <c r="J462" s="15"/>
      <c r="K462" s="29">
        <f t="shared" ref="K462:N463" si="176">K463</f>
        <v>4767.8999999999996</v>
      </c>
      <c r="L462" s="29">
        <f t="shared" si="176"/>
        <v>0</v>
      </c>
      <c r="M462" s="29">
        <f t="shared" si="176"/>
        <v>4767.8999999999996</v>
      </c>
      <c r="N462" s="29">
        <f t="shared" si="176"/>
        <v>4787.5999999999995</v>
      </c>
    </row>
    <row r="463" spans="1:14" s="12" customFormat="1" ht="36" x14ac:dyDescent="0.35">
      <c r="A463" s="16"/>
      <c r="B463" s="497" t="s">
        <v>216</v>
      </c>
      <c r="C463" s="28" t="s">
        <v>286</v>
      </c>
      <c r="D463" s="15" t="s">
        <v>65</v>
      </c>
      <c r="E463" s="15" t="s">
        <v>36</v>
      </c>
      <c r="F463" s="676" t="s">
        <v>50</v>
      </c>
      <c r="G463" s="677" t="s">
        <v>87</v>
      </c>
      <c r="H463" s="677" t="s">
        <v>42</v>
      </c>
      <c r="I463" s="678" t="s">
        <v>43</v>
      </c>
      <c r="J463" s="15"/>
      <c r="K463" s="29">
        <f t="shared" si="176"/>
        <v>4767.8999999999996</v>
      </c>
      <c r="L463" s="29">
        <f t="shared" si="176"/>
        <v>0</v>
      </c>
      <c r="M463" s="29">
        <f t="shared" si="176"/>
        <v>4767.8999999999996</v>
      </c>
      <c r="N463" s="29">
        <f t="shared" si="176"/>
        <v>4787.5999999999995</v>
      </c>
    </row>
    <row r="464" spans="1:14" s="116" customFormat="1" ht="36" x14ac:dyDescent="0.35">
      <c r="A464" s="16"/>
      <c r="B464" s="497" t="s">
        <v>518</v>
      </c>
      <c r="C464" s="28" t="s">
        <v>286</v>
      </c>
      <c r="D464" s="15" t="s">
        <v>65</v>
      </c>
      <c r="E464" s="15" t="s">
        <v>36</v>
      </c>
      <c r="F464" s="676" t="s">
        <v>50</v>
      </c>
      <c r="G464" s="677" t="s">
        <v>87</v>
      </c>
      <c r="H464" s="677" t="s">
        <v>50</v>
      </c>
      <c r="I464" s="678" t="s">
        <v>43</v>
      </c>
      <c r="J464" s="15"/>
      <c r="K464" s="29">
        <f>K465+K469</f>
        <v>4767.8999999999996</v>
      </c>
      <c r="L464" s="29">
        <f t="shared" ref="L464" si="177">L465+L469</f>
        <v>0</v>
      </c>
      <c r="M464" s="29">
        <f>M465+M469</f>
        <v>4767.8999999999996</v>
      </c>
      <c r="N464" s="29">
        <f>N465+N469</f>
        <v>4787.5999999999995</v>
      </c>
    </row>
    <row r="465" spans="1:14" s="116" customFormat="1" ht="36" x14ac:dyDescent="0.35">
      <c r="A465" s="16"/>
      <c r="B465" s="497" t="s">
        <v>454</v>
      </c>
      <c r="C465" s="28" t="s">
        <v>286</v>
      </c>
      <c r="D465" s="15" t="s">
        <v>65</v>
      </c>
      <c r="E465" s="15" t="s">
        <v>36</v>
      </c>
      <c r="F465" s="676" t="s">
        <v>50</v>
      </c>
      <c r="G465" s="677" t="s">
        <v>87</v>
      </c>
      <c r="H465" s="677" t="s">
        <v>50</v>
      </c>
      <c r="I465" s="678" t="s">
        <v>89</v>
      </c>
      <c r="J465" s="15"/>
      <c r="K465" s="29">
        <f>SUM(K466:K468)</f>
        <v>3766.5</v>
      </c>
      <c r="L465" s="29">
        <f t="shared" ref="L465" si="178">SUM(L466:L468)</f>
        <v>0</v>
      </c>
      <c r="M465" s="29">
        <f>SUM(M466:M468)</f>
        <v>3766.5</v>
      </c>
      <c r="N465" s="29">
        <f>SUM(N466:N468)</f>
        <v>3786.2</v>
      </c>
    </row>
    <row r="466" spans="1:14" s="116" customFormat="1" ht="108" x14ac:dyDescent="0.35">
      <c r="A466" s="16"/>
      <c r="B466" s="497" t="s">
        <v>48</v>
      </c>
      <c r="C466" s="28" t="s">
        <v>286</v>
      </c>
      <c r="D466" s="15" t="s">
        <v>65</v>
      </c>
      <c r="E466" s="15" t="s">
        <v>36</v>
      </c>
      <c r="F466" s="676" t="s">
        <v>50</v>
      </c>
      <c r="G466" s="677" t="s">
        <v>87</v>
      </c>
      <c r="H466" s="677" t="s">
        <v>50</v>
      </c>
      <c r="I466" s="678" t="s">
        <v>89</v>
      </c>
      <c r="J466" s="15" t="s">
        <v>49</v>
      </c>
      <c r="K466" s="29">
        <v>2270.4</v>
      </c>
      <c r="L466" s="29">
        <f>M466-K466</f>
        <v>0</v>
      </c>
      <c r="M466" s="29">
        <v>2270.4</v>
      </c>
      <c r="N466" s="252">
        <v>2270.4</v>
      </c>
    </row>
    <row r="467" spans="1:14" s="116" customFormat="1" ht="54" x14ac:dyDescent="0.35">
      <c r="A467" s="16"/>
      <c r="B467" s="497" t="s">
        <v>53</v>
      </c>
      <c r="C467" s="28" t="s">
        <v>286</v>
      </c>
      <c r="D467" s="15" t="s">
        <v>65</v>
      </c>
      <c r="E467" s="15" t="s">
        <v>36</v>
      </c>
      <c r="F467" s="676" t="s">
        <v>50</v>
      </c>
      <c r="G467" s="677" t="s">
        <v>87</v>
      </c>
      <c r="H467" s="677" t="s">
        <v>50</v>
      </c>
      <c r="I467" s="678" t="s">
        <v>89</v>
      </c>
      <c r="J467" s="15" t="s">
        <v>54</v>
      </c>
      <c r="K467" s="29">
        <v>1489.1</v>
      </c>
      <c r="L467" s="29">
        <f>M467-K467</f>
        <v>0</v>
      </c>
      <c r="M467" s="29">
        <v>1489.1</v>
      </c>
      <c r="N467" s="252">
        <v>1509.6</v>
      </c>
    </row>
    <row r="468" spans="1:14" s="116" customFormat="1" ht="18" x14ac:dyDescent="0.35">
      <c r="A468" s="16"/>
      <c r="B468" s="497" t="s">
        <v>55</v>
      </c>
      <c r="C468" s="28" t="s">
        <v>286</v>
      </c>
      <c r="D468" s="15" t="s">
        <v>65</v>
      </c>
      <c r="E468" s="15" t="s">
        <v>36</v>
      </c>
      <c r="F468" s="676" t="s">
        <v>50</v>
      </c>
      <c r="G468" s="677" t="s">
        <v>87</v>
      </c>
      <c r="H468" s="677" t="s">
        <v>50</v>
      </c>
      <c r="I468" s="678" t="s">
        <v>89</v>
      </c>
      <c r="J468" s="15" t="s">
        <v>56</v>
      </c>
      <c r="K468" s="29">
        <v>7</v>
      </c>
      <c r="L468" s="29">
        <f>M468-K468</f>
        <v>0</v>
      </c>
      <c r="M468" s="29">
        <v>7</v>
      </c>
      <c r="N468" s="252">
        <v>6.2</v>
      </c>
    </row>
    <row r="469" spans="1:14" s="116" customFormat="1" ht="54" x14ac:dyDescent="0.35">
      <c r="A469" s="16"/>
      <c r="B469" s="497" t="s">
        <v>215</v>
      </c>
      <c r="C469" s="28" t="s">
        <v>286</v>
      </c>
      <c r="D469" s="15" t="s">
        <v>65</v>
      </c>
      <c r="E469" s="15" t="s">
        <v>36</v>
      </c>
      <c r="F469" s="676" t="s">
        <v>50</v>
      </c>
      <c r="G469" s="677" t="s">
        <v>87</v>
      </c>
      <c r="H469" s="677" t="s">
        <v>50</v>
      </c>
      <c r="I469" s="678" t="s">
        <v>288</v>
      </c>
      <c r="J469" s="15"/>
      <c r="K469" s="29">
        <f>K470</f>
        <v>1001.4</v>
      </c>
      <c r="L469" s="29">
        <f t="shared" ref="L469" si="179">L470</f>
        <v>0</v>
      </c>
      <c r="M469" s="29">
        <f>M470</f>
        <v>1001.4</v>
      </c>
      <c r="N469" s="252">
        <f>N470</f>
        <v>1001.4</v>
      </c>
    </row>
    <row r="470" spans="1:14" s="116" customFormat="1" ht="54" x14ac:dyDescent="0.35">
      <c r="A470" s="16"/>
      <c r="B470" s="497" t="s">
        <v>53</v>
      </c>
      <c r="C470" s="28" t="s">
        <v>286</v>
      </c>
      <c r="D470" s="15" t="s">
        <v>65</v>
      </c>
      <c r="E470" s="15" t="s">
        <v>36</v>
      </c>
      <c r="F470" s="676" t="s">
        <v>50</v>
      </c>
      <c r="G470" s="677" t="s">
        <v>87</v>
      </c>
      <c r="H470" s="677" t="s">
        <v>50</v>
      </c>
      <c r="I470" s="678" t="s">
        <v>288</v>
      </c>
      <c r="J470" s="15" t="s">
        <v>54</v>
      </c>
      <c r="K470" s="29">
        <v>1001.4</v>
      </c>
      <c r="L470" s="29">
        <f>M470-K470</f>
        <v>0</v>
      </c>
      <c r="M470" s="29">
        <v>1001.4</v>
      </c>
      <c r="N470" s="252">
        <v>1001.4</v>
      </c>
    </row>
    <row r="471" spans="1:14" s="116" customFormat="1" ht="18" x14ac:dyDescent="0.35">
      <c r="A471" s="16"/>
      <c r="B471" s="497" t="s">
        <v>194</v>
      </c>
      <c r="C471" s="28" t="s">
        <v>286</v>
      </c>
      <c r="D471" s="15" t="s">
        <v>65</v>
      </c>
      <c r="E471" s="15" t="s">
        <v>38</v>
      </c>
      <c r="F471" s="676"/>
      <c r="G471" s="677"/>
      <c r="H471" s="677"/>
      <c r="I471" s="678"/>
      <c r="J471" s="15"/>
      <c r="K471" s="29">
        <f>K472</f>
        <v>910.6</v>
      </c>
      <c r="L471" s="29">
        <f t="shared" ref="L471:L472" si="180">L472</f>
        <v>0</v>
      </c>
      <c r="M471" s="29">
        <f>M472</f>
        <v>910.6</v>
      </c>
      <c r="N471" s="252">
        <f>N472</f>
        <v>910.6</v>
      </c>
    </row>
    <row r="472" spans="1:14" s="116" customFormat="1" ht="54" x14ac:dyDescent="0.35">
      <c r="A472" s="16"/>
      <c r="B472" s="497" t="s">
        <v>213</v>
      </c>
      <c r="C472" s="28" t="s">
        <v>286</v>
      </c>
      <c r="D472" s="15" t="s">
        <v>65</v>
      </c>
      <c r="E472" s="15" t="s">
        <v>38</v>
      </c>
      <c r="F472" s="676" t="s">
        <v>50</v>
      </c>
      <c r="G472" s="677" t="s">
        <v>41</v>
      </c>
      <c r="H472" s="677" t="s">
        <v>42</v>
      </c>
      <c r="I472" s="678" t="s">
        <v>43</v>
      </c>
      <c r="J472" s="15"/>
      <c r="K472" s="29">
        <f>K473</f>
        <v>910.6</v>
      </c>
      <c r="L472" s="29">
        <f t="shared" si="180"/>
        <v>0</v>
      </c>
      <c r="M472" s="29">
        <f>M473</f>
        <v>910.6</v>
      </c>
      <c r="N472" s="29">
        <f>N473</f>
        <v>910.6</v>
      </c>
    </row>
    <row r="473" spans="1:14" s="116" customFormat="1" ht="36" x14ac:dyDescent="0.35">
      <c r="A473" s="16"/>
      <c r="B473" s="546" t="s">
        <v>214</v>
      </c>
      <c r="C473" s="28" t="s">
        <v>286</v>
      </c>
      <c r="D473" s="15" t="s">
        <v>65</v>
      </c>
      <c r="E473" s="15" t="s">
        <v>38</v>
      </c>
      <c r="F473" s="676" t="s">
        <v>50</v>
      </c>
      <c r="G473" s="677" t="s">
        <v>44</v>
      </c>
      <c r="H473" s="677" t="s">
        <v>42</v>
      </c>
      <c r="I473" s="678" t="s">
        <v>43</v>
      </c>
      <c r="J473" s="15"/>
      <c r="K473" s="29">
        <f t="shared" ref="K473:N475" si="181">K474</f>
        <v>910.6</v>
      </c>
      <c r="L473" s="29">
        <f t="shared" si="181"/>
        <v>0</v>
      </c>
      <c r="M473" s="29">
        <f t="shared" si="181"/>
        <v>910.6</v>
      </c>
      <c r="N473" s="29">
        <f t="shared" si="181"/>
        <v>910.6</v>
      </c>
    </row>
    <row r="474" spans="1:14" s="116" customFormat="1" ht="54" x14ac:dyDescent="0.35">
      <c r="A474" s="16"/>
      <c r="B474" s="497" t="s">
        <v>287</v>
      </c>
      <c r="C474" s="28" t="s">
        <v>286</v>
      </c>
      <c r="D474" s="15" t="s">
        <v>65</v>
      </c>
      <c r="E474" s="15" t="s">
        <v>38</v>
      </c>
      <c r="F474" s="676" t="s">
        <v>50</v>
      </c>
      <c r="G474" s="677" t="s">
        <v>44</v>
      </c>
      <c r="H474" s="677" t="s">
        <v>38</v>
      </c>
      <c r="I474" s="678" t="s">
        <v>43</v>
      </c>
      <c r="J474" s="15"/>
      <c r="K474" s="29">
        <f t="shared" si="181"/>
        <v>910.6</v>
      </c>
      <c r="L474" s="29">
        <f t="shared" si="181"/>
        <v>0</v>
      </c>
      <c r="M474" s="29">
        <f t="shared" si="181"/>
        <v>910.6</v>
      </c>
      <c r="N474" s="29">
        <f t="shared" si="181"/>
        <v>910.6</v>
      </c>
    </row>
    <row r="475" spans="1:14" s="116" customFormat="1" ht="54" x14ac:dyDescent="0.35">
      <c r="A475" s="16"/>
      <c r="B475" s="497" t="s">
        <v>215</v>
      </c>
      <c r="C475" s="28" t="s">
        <v>286</v>
      </c>
      <c r="D475" s="15" t="s">
        <v>65</v>
      </c>
      <c r="E475" s="15" t="s">
        <v>38</v>
      </c>
      <c r="F475" s="676" t="s">
        <v>50</v>
      </c>
      <c r="G475" s="677" t="s">
        <v>44</v>
      </c>
      <c r="H475" s="677" t="s">
        <v>38</v>
      </c>
      <c r="I475" s="678" t="s">
        <v>288</v>
      </c>
      <c r="J475" s="15"/>
      <c r="K475" s="29">
        <f t="shared" si="181"/>
        <v>910.6</v>
      </c>
      <c r="L475" s="29">
        <f t="shared" si="181"/>
        <v>0</v>
      </c>
      <c r="M475" s="29">
        <f t="shared" si="181"/>
        <v>910.6</v>
      </c>
      <c r="N475" s="29">
        <f t="shared" si="181"/>
        <v>910.6</v>
      </c>
    </row>
    <row r="476" spans="1:14" s="116" customFormat="1" ht="54" x14ac:dyDescent="0.35">
      <c r="A476" s="16"/>
      <c r="B476" s="497" t="s">
        <v>53</v>
      </c>
      <c r="C476" s="28" t="s">
        <v>286</v>
      </c>
      <c r="D476" s="15" t="s">
        <v>65</v>
      </c>
      <c r="E476" s="15" t="s">
        <v>38</v>
      </c>
      <c r="F476" s="676" t="s">
        <v>50</v>
      </c>
      <c r="G476" s="677" t="s">
        <v>44</v>
      </c>
      <c r="H476" s="677" t="s">
        <v>38</v>
      </c>
      <c r="I476" s="678" t="s">
        <v>288</v>
      </c>
      <c r="J476" s="15" t="s">
        <v>54</v>
      </c>
      <c r="K476" s="29">
        <v>910.6</v>
      </c>
      <c r="L476" s="29">
        <f>M476-K476</f>
        <v>0</v>
      </c>
      <c r="M476" s="29">
        <v>910.6</v>
      </c>
      <c r="N476" s="487">
        <v>910.6</v>
      </c>
    </row>
    <row r="477" spans="1:14" s="116" customFormat="1" ht="18" x14ac:dyDescent="0.35">
      <c r="A477" s="16"/>
      <c r="B477" s="497" t="s">
        <v>558</v>
      </c>
      <c r="C477" s="28" t="s">
        <v>286</v>
      </c>
      <c r="D477" s="15" t="s">
        <v>65</v>
      </c>
      <c r="E477" s="15" t="s">
        <v>61</v>
      </c>
      <c r="F477" s="676"/>
      <c r="G477" s="677"/>
      <c r="H477" s="677"/>
      <c r="I477" s="678"/>
      <c r="J477" s="15"/>
      <c r="K477" s="29">
        <f>K478</f>
        <v>38346.300000000003</v>
      </c>
      <c r="L477" s="29">
        <f t="shared" ref="L477" si="182">L478</f>
        <v>0</v>
      </c>
      <c r="M477" s="29">
        <f>M478</f>
        <v>38346.300000000003</v>
      </c>
      <c r="N477" s="29">
        <f>N478</f>
        <v>37455</v>
      </c>
    </row>
    <row r="478" spans="1:14" s="116" customFormat="1" ht="54" x14ac:dyDescent="0.35">
      <c r="A478" s="16"/>
      <c r="B478" s="497" t="s">
        <v>213</v>
      </c>
      <c r="C478" s="28" t="s">
        <v>286</v>
      </c>
      <c r="D478" s="15" t="s">
        <v>65</v>
      </c>
      <c r="E478" s="15" t="s">
        <v>61</v>
      </c>
      <c r="F478" s="676" t="s">
        <v>50</v>
      </c>
      <c r="G478" s="677" t="s">
        <v>41</v>
      </c>
      <c r="H478" s="677" t="s">
        <v>42</v>
      </c>
      <c r="I478" s="678" t="s">
        <v>43</v>
      </c>
      <c r="J478" s="15"/>
      <c r="K478" s="29">
        <f>K479+K483</f>
        <v>38346.300000000003</v>
      </c>
      <c r="L478" s="29">
        <f t="shared" ref="L478" si="183">L479+L483</f>
        <v>0</v>
      </c>
      <c r="M478" s="29">
        <f>M479+M483</f>
        <v>38346.300000000003</v>
      </c>
      <c r="N478" s="29">
        <f>N479+N483</f>
        <v>37455</v>
      </c>
    </row>
    <row r="479" spans="1:14" s="116" customFormat="1" ht="36" x14ac:dyDescent="0.35">
      <c r="A479" s="16"/>
      <c r="B479" s="546" t="s">
        <v>214</v>
      </c>
      <c r="C479" s="28" t="s">
        <v>286</v>
      </c>
      <c r="D479" s="15" t="s">
        <v>65</v>
      </c>
      <c r="E479" s="15" t="s">
        <v>61</v>
      </c>
      <c r="F479" s="676" t="s">
        <v>50</v>
      </c>
      <c r="G479" s="677" t="s">
        <v>44</v>
      </c>
      <c r="H479" s="677" t="s">
        <v>42</v>
      </c>
      <c r="I479" s="678" t="s">
        <v>43</v>
      </c>
      <c r="J479" s="15"/>
      <c r="K479" s="29">
        <f>K480</f>
        <v>450</v>
      </c>
      <c r="L479" s="29">
        <f t="shared" ref="L479" si="184">L480</f>
        <v>0</v>
      </c>
      <c r="M479" s="29">
        <f>M480</f>
        <v>450</v>
      </c>
      <c r="N479" s="29">
        <f>N480</f>
        <v>450</v>
      </c>
    </row>
    <row r="480" spans="1:14" s="116" customFormat="1" ht="18" x14ac:dyDescent="0.35">
      <c r="A480" s="16"/>
      <c r="B480" s="497" t="s">
        <v>273</v>
      </c>
      <c r="C480" s="28" t="s">
        <v>286</v>
      </c>
      <c r="D480" s="15" t="s">
        <v>65</v>
      </c>
      <c r="E480" s="15" t="s">
        <v>61</v>
      </c>
      <c r="F480" s="676" t="s">
        <v>50</v>
      </c>
      <c r="G480" s="677" t="s">
        <v>44</v>
      </c>
      <c r="H480" s="677" t="s">
        <v>36</v>
      </c>
      <c r="I480" s="678" t="s">
        <v>43</v>
      </c>
      <c r="J480" s="15"/>
      <c r="K480" s="29">
        <f t="shared" ref="K480:N481" si="185">K481</f>
        <v>450</v>
      </c>
      <c r="L480" s="29">
        <f t="shared" si="185"/>
        <v>0</v>
      </c>
      <c r="M480" s="29">
        <f t="shared" si="185"/>
        <v>450</v>
      </c>
      <c r="N480" s="29">
        <f t="shared" si="185"/>
        <v>450</v>
      </c>
    </row>
    <row r="481" spans="1:14" s="116" customFormat="1" ht="36" x14ac:dyDescent="0.35">
      <c r="A481" s="16"/>
      <c r="B481" s="497" t="s">
        <v>274</v>
      </c>
      <c r="C481" s="28" t="s">
        <v>286</v>
      </c>
      <c r="D481" s="15" t="s">
        <v>65</v>
      </c>
      <c r="E481" s="15" t="s">
        <v>61</v>
      </c>
      <c r="F481" s="676" t="s">
        <v>50</v>
      </c>
      <c r="G481" s="677" t="s">
        <v>44</v>
      </c>
      <c r="H481" s="677" t="s">
        <v>36</v>
      </c>
      <c r="I481" s="678" t="s">
        <v>275</v>
      </c>
      <c r="J481" s="15"/>
      <c r="K481" s="29">
        <f t="shared" si="185"/>
        <v>450</v>
      </c>
      <c r="L481" s="29">
        <f t="shared" si="185"/>
        <v>0</v>
      </c>
      <c r="M481" s="29">
        <f t="shared" si="185"/>
        <v>450</v>
      </c>
      <c r="N481" s="29">
        <f t="shared" si="185"/>
        <v>450</v>
      </c>
    </row>
    <row r="482" spans="1:14" s="116" customFormat="1" ht="36" x14ac:dyDescent="0.35">
      <c r="A482" s="16"/>
      <c r="B482" s="497" t="s">
        <v>118</v>
      </c>
      <c r="C482" s="28" t="s">
        <v>286</v>
      </c>
      <c r="D482" s="15" t="s">
        <v>65</v>
      </c>
      <c r="E482" s="15" t="s">
        <v>61</v>
      </c>
      <c r="F482" s="676" t="s">
        <v>50</v>
      </c>
      <c r="G482" s="677" t="s">
        <v>44</v>
      </c>
      <c r="H482" s="677" t="s">
        <v>36</v>
      </c>
      <c r="I482" s="678" t="s">
        <v>275</v>
      </c>
      <c r="J482" s="15" t="s">
        <v>119</v>
      </c>
      <c r="K482" s="29">
        <v>450</v>
      </c>
      <c r="L482" s="29">
        <f>M482-K482</f>
        <v>0</v>
      </c>
      <c r="M482" s="29">
        <v>450</v>
      </c>
      <c r="N482" s="29">
        <v>450</v>
      </c>
    </row>
    <row r="483" spans="1:14" s="116" customFormat="1" ht="36" x14ac:dyDescent="0.35">
      <c r="A483" s="16"/>
      <c r="B483" s="497" t="s">
        <v>216</v>
      </c>
      <c r="C483" s="28" t="s">
        <v>286</v>
      </c>
      <c r="D483" s="15" t="s">
        <v>65</v>
      </c>
      <c r="E483" s="15" t="s">
        <v>61</v>
      </c>
      <c r="F483" s="676" t="s">
        <v>50</v>
      </c>
      <c r="G483" s="677" t="s">
        <v>87</v>
      </c>
      <c r="H483" s="677" t="s">
        <v>42</v>
      </c>
      <c r="I483" s="678" t="s">
        <v>43</v>
      </c>
      <c r="J483" s="15"/>
      <c r="K483" s="29">
        <f t="shared" ref="K483:N483" si="186">K484</f>
        <v>37896.300000000003</v>
      </c>
      <c r="L483" s="29">
        <f t="shared" si="186"/>
        <v>0</v>
      </c>
      <c r="M483" s="29">
        <f t="shared" si="186"/>
        <v>37896.300000000003</v>
      </c>
      <c r="N483" s="29">
        <f t="shared" si="186"/>
        <v>37005</v>
      </c>
    </row>
    <row r="484" spans="1:14" s="116" customFormat="1" ht="18" x14ac:dyDescent="0.35">
      <c r="A484" s="16"/>
      <c r="B484" s="497" t="s">
        <v>357</v>
      </c>
      <c r="C484" s="28" t="s">
        <v>286</v>
      </c>
      <c r="D484" s="15" t="s">
        <v>65</v>
      </c>
      <c r="E484" s="15" t="s">
        <v>61</v>
      </c>
      <c r="F484" s="676" t="s">
        <v>50</v>
      </c>
      <c r="G484" s="677" t="s">
        <v>87</v>
      </c>
      <c r="H484" s="677" t="s">
        <v>38</v>
      </c>
      <c r="I484" s="678" t="s">
        <v>43</v>
      </c>
      <c r="J484" s="15"/>
      <c r="K484" s="29">
        <f>K485+K491+K489+K493</f>
        <v>37896.300000000003</v>
      </c>
      <c r="L484" s="29">
        <f t="shared" ref="L484" si="187">L485+L491+L489+L493</f>
        <v>0</v>
      </c>
      <c r="M484" s="29">
        <f>M485+M491+M489+M493</f>
        <v>37896.300000000003</v>
      </c>
      <c r="N484" s="29">
        <f>N485+N491+N489+N493</f>
        <v>37005</v>
      </c>
    </row>
    <row r="485" spans="1:14" s="116" customFormat="1" ht="36" x14ac:dyDescent="0.35">
      <c r="A485" s="16"/>
      <c r="B485" s="573" t="s">
        <v>454</v>
      </c>
      <c r="C485" s="28" t="s">
        <v>286</v>
      </c>
      <c r="D485" s="15" t="s">
        <v>65</v>
      </c>
      <c r="E485" s="15" t="s">
        <v>61</v>
      </c>
      <c r="F485" s="676" t="s">
        <v>50</v>
      </c>
      <c r="G485" s="677" t="s">
        <v>87</v>
      </c>
      <c r="H485" s="677" t="s">
        <v>38</v>
      </c>
      <c r="I485" s="678" t="s">
        <v>89</v>
      </c>
      <c r="J485" s="15"/>
      <c r="K485" s="29">
        <f>K486+K487+K488</f>
        <v>31291.600000000002</v>
      </c>
      <c r="L485" s="29">
        <f t="shared" ref="L485" si="188">L486+L487+L488</f>
        <v>0</v>
      </c>
      <c r="M485" s="29">
        <f>M486+M487+M488</f>
        <v>31291.600000000002</v>
      </c>
      <c r="N485" s="29">
        <f>N486+N487+N488</f>
        <v>31402.400000000001</v>
      </c>
    </row>
    <row r="486" spans="1:14" s="116" customFormat="1" ht="108" x14ac:dyDescent="0.35">
      <c r="A486" s="16"/>
      <c r="B486" s="497" t="s">
        <v>48</v>
      </c>
      <c r="C486" s="28" t="s">
        <v>286</v>
      </c>
      <c r="D486" s="15" t="s">
        <v>65</v>
      </c>
      <c r="E486" s="15" t="s">
        <v>61</v>
      </c>
      <c r="F486" s="676" t="s">
        <v>50</v>
      </c>
      <c r="G486" s="677" t="s">
        <v>87</v>
      </c>
      <c r="H486" s="677" t="s">
        <v>38</v>
      </c>
      <c r="I486" s="678" t="s">
        <v>89</v>
      </c>
      <c r="J486" s="15" t="s">
        <v>49</v>
      </c>
      <c r="K486" s="29">
        <v>25492.400000000001</v>
      </c>
      <c r="L486" s="29">
        <f>M486-K486</f>
        <v>0</v>
      </c>
      <c r="M486" s="29">
        <v>25492.400000000001</v>
      </c>
      <c r="N486" s="29">
        <v>25492.400000000001</v>
      </c>
    </row>
    <row r="487" spans="1:14" s="116" customFormat="1" ht="54" x14ac:dyDescent="0.35">
      <c r="A487" s="16"/>
      <c r="B487" s="497" t="s">
        <v>53</v>
      </c>
      <c r="C487" s="28" t="s">
        <v>286</v>
      </c>
      <c r="D487" s="15" t="s">
        <v>65</v>
      </c>
      <c r="E487" s="15" t="s">
        <v>61</v>
      </c>
      <c r="F487" s="676" t="s">
        <v>50</v>
      </c>
      <c r="G487" s="677" t="s">
        <v>87</v>
      </c>
      <c r="H487" s="677" t="s">
        <v>38</v>
      </c>
      <c r="I487" s="678" t="s">
        <v>89</v>
      </c>
      <c r="J487" s="15" t="s">
        <v>54</v>
      </c>
      <c r="K487" s="29">
        <f>5156.3-39.1</f>
        <v>5117.2</v>
      </c>
      <c r="L487" s="29">
        <f>M487-K487</f>
        <v>0</v>
      </c>
      <c r="M487" s="29">
        <f>5156.3-39.1</f>
        <v>5117.2</v>
      </c>
      <c r="N487" s="29">
        <f>5253.5-23.5</f>
        <v>5230</v>
      </c>
    </row>
    <row r="488" spans="1:14" s="116" customFormat="1" ht="18" x14ac:dyDescent="0.35">
      <c r="A488" s="16"/>
      <c r="B488" s="497" t="s">
        <v>55</v>
      </c>
      <c r="C488" s="28" t="s">
        <v>286</v>
      </c>
      <c r="D488" s="15" t="s">
        <v>65</v>
      </c>
      <c r="E488" s="15" t="s">
        <v>61</v>
      </c>
      <c r="F488" s="676" t="s">
        <v>50</v>
      </c>
      <c r="G488" s="677" t="s">
        <v>87</v>
      </c>
      <c r="H488" s="677" t="s">
        <v>38</v>
      </c>
      <c r="I488" s="678" t="s">
        <v>89</v>
      </c>
      <c r="J488" s="15" t="s">
        <v>56</v>
      </c>
      <c r="K488" s="29">
        <v>682</v>
      </c>
      <c r="L488" s="29">
        <f>M488-K488</f>
        <v>0</v>
      </c>
      <c r="M488" s="29">
        <v>682</v>
      </c>
      <c r="N488" s="29">
        <v>680</v>
      </c>
    </row>
    <row r="489" spans="1:14" s="116" customFormat="1" ht="54" x14ac:dyDescent="0.35">
      <c r="A489" s="16"/>
      <c r="B489" s="497" t="s">
        <v>215</v>
      </c>
      <c r="C489" s="28" t="s">
        <v>286</v>
      </c>
      <c r="D489" s="15" t="s">
        <v>65</v>
      </c>
      <c r="E489" s="15" t="s">
        <v>61</v>
      </c>
      <c r="F489" s="676" t="s">
        <v>50</v>
      </c>
      <c r="G489" s="677" t="s">
        <v>87</v>
      </c>
      <c r="H489" s="677" t="s">
        <v>38</v>
      </c>
      <c r="I489" s="678" t="s">
        <v>288</v>
      </c>
      <c r="J489" s="15"/>
      <c r="K489" s="29">
        <f>K490</f>
        <v>4005.5</v>
      </c>
      <c r="L489" s="29">
        <f t="shared" ref="L489" si="189">L490</f>
        <v>0</v>
      </c>
      <c r="M489" s="29">
        <f>M490</f>
        <v>4005.5</v>
      </c>
      <c r="N489" s="29">
        <f>N490</f>
        <v>4005.5</v>
      </c>
    </row>
    <row r="490" spans="1:14" s="116" customFormat="1" ht="54" x14ac:dyDescent="0.35">
      <c r="A490" s="16"/>
      <c r="B490" s="497" t="s">
        <v>53</v>
      </c>
      <c r="C490" s="28" t="s">
        <v>286</v>
      </c>
      <c r="D490" s="15" t="s">
        <v>65</v>
      </c>
      <c r="E490" s="15" t="s">
        <v>61</v>
      </c>
      <c r="F490" s="676" t="s">
        <v>50</v>
      </c>
      <c r="G490" s="677" t="s">
        <v>87</v>
      </c>
      <c r="H490" s="677" t="s">
        <v>38</v>
      </c>
      <c r="I490" s="678" t="s">
        <v>288</v>
      </c>
      <c r="J490" s="15" t="s">
        <v>54</v>
      </c>
      <c r="K490" s="29">
        <v>4005.5</v>
      </c>
      <c r="L490" s="29">
        <f>M490-K490</f>
        <v>0</v>
      </c>
      <c r="M490" s="29">
        <v>4005.5</v>
      </c>
      <c r="N490" s="29">
        <v>4005.5</v>
      </c>
    </row>
    <row r="491" spans="1:14" s="116" customFormat="1" ht="180" x14ac:dyDescent="0.35">
      <c r="A491" s="16"/>
      <c r="B491" s="497" t="s">
        <v>427</v>
      </c>
      <c r="C491" s="28" t="s">
        <v>286</v>
      </c>
      <c r="D491" s="15" t="s">
        <v>65</v>
      </c>
      <c r="E491" s="15" t="s">
        <v>61</v>
      </c>
      <c r="F491" s="676" t="s">
        <v>50</v>
      </c>
      <c r="G491" s="677" t="s">
        <v>87</v>
      </c>
      <c r="H491" s="677" t="s">
        <v>38</v>
      </c>
      <c r="I491" s="678" t="s">
        <v>385</v>
      </c>
      <c r="J491" s="15"/>
      <c r="K491" s="29">
        <f>K492</f>
        <v>93.8</v>
      </c>
      <c r="L491" s="29">
        <f t="shared" ref="L491" si="190">L492</f>
        <v>0</v>
      </c>
      <c r="M491" s="29">
        <f>M492</f>
        <v>93.8</v>
      </c>
      <c r="N491" s="29">
        <f>N492</f>
        <v>93.8</v>
      </c>
    </row>
    <row r="492" spans="1:14" s="116" customFormat="1" ht="108" x14ac:dyDescent="0.35">
      <c r="A492" s="16"/>
      <c r="B492" s="497" t="s">
        <v>48</v>
      </c>
      <c r="C492" s="28" t="s">
        <v>286</v>
      </c>
      <c r="D492" s="15" t="s">
        <v>65</v>
      </c>
      <c r="E492" s="15" t="s">
        <v>61</v>
      </c>
      <c r="F492" s="676" t="s">
        <v>50</v>
      </c>
      <c r="G492" s="677" t="s">
        <v>87</v>
      </c>
      <c r="H492" s="677" t="s">
        <v>38</v>
      </c>
      <c r="I492" s="678" t="s">
        <v>385</v>
      </c>
      <c r="J492" s="15" t="s">
        <v>49</v>
      </c>
      <c r="K492" s="29">
        <v>93.8</v>
      </c>
      <c r="L492" s="29">
        <f>M492-K492</f>
        <v>0</v>
      </c>
      <c r="M492" s="29">
        <v>93.8</v>
      </c>
      <c r="N492" s="252">
        <v>93.8</v>
      </c>
    </row>
    <row r="493" spans="1:14" s="116" customFormat="1" ht="54" x14ac:dyDescent="0.35">
      <c r="A493" s="16"/>
      <c r="B493" s="497" t="s">
        <v>429</v>
      </c>
      <c r="C493" s="28" t="s">
        <v>286</v>
      </c>
      <c r="D493" s="15" t="s">
        <v>65</v>
      </c>
      <c r="E493" s="15" t="s">
        <v>61</v>
      </c>
      <c r="F493" s="676" t="s">
        <v>50</v>
      </c>
      <c r="G493" s="677" t="s">
        <v>87</v>
      </c>
      <c r="H493" s="677" t="s">
        <v>38</v>
      </c>
      <c r="I493" s="678" t="s">
        <v>405</v>
      </c>
      <c r="J493" s="15"/>
      <c r="K493" s="29">
        <f>K494</f>
        <v>2505.4</v>
      </c>
      <c r="L493" s="29">
        <f t="shared" ref="L493" si="191">L494</f>
        <v>0</v>
      </c>
      <c r="M493" s="29">
        <f>M494</f>
        <v>2505.4</v>
      </c>
      <c r="N493" s="29">
        <f>N494</f>
        <v>1503.3000000000002</v>
      </c>
    </row>
    <row r="494" spans="1:14" s="116" customFormat="1" ht="108" x14ac:dyDescent="0.35">
      <c r="A494" s="16"/>
      <c r="B494" s="497" t="s">
        <v>48</v>
      </c>
      <c r="C494" s="28" t="s">
        <v>286</v>
      </c>
      <c r="D494" s="15" t="s">
        <v>65</v>
      </c>
      <c r="E494" s="15" t="s">
        <v>61</v>
      </c>
      <c r="F494" s="676" t="s">
        <v>50</v>
      </c>
      <c r="G494" s="677" t="s">
        <v>87</v>
      </c>
      <c r="H494" s="677" t="s">
        <v>38</v>
      </c>
      <c r="I494" s="678" t="s">
        <v>405</v>
      </c>
      <c r="J494" s="15" t="s">
        <v>49</v>
      </c>
      <c r="K494" s="29">
        <f>2114.8+351.5+39.1</f>
        <v>2505.4</v>
      </c>
      <c r="L494" s="29">
        <f>M494-K494</f>
        <v>0</v>
      </c>
      <c r="M494" s="29">
        <f>2114.8+351.5+39.1</f>
        <v>2505.4</v>
      </c>
      <c r="N494" s="252">
        <f>1268.9+210.9+23.5</f>
        <v>1503.3000000000002</v>
      </c>
    </row>
    <row r="495" spans="1:14" s="12" customFormat="1" ht="36" x14ac:dyDescent="0.35">
      <c r="A495" s="16"/>
      <c r="B495" s="546" t="s">
        <v>196</v>
      </c>
      <c r="C495" s="28" t="s">
        <v>286</v>
      </c>
      <c r="D495" s="15" t="s">
        <v>65</v>
      </c>
      <c r="E495" s="15" t="s">
        <v>63</v>
      </c>
      <c r="F495" s="676"/>
      <c r="G495" s="677"/>
      <c r="H495" s="677"/>
      <c r="I495" s="678"/>
      <c r="J495" s="15"/>
      <c r="K495" s="29">
        <f t="shared" ref="K495:N498" si="192">K496</f>
        <v>3179.7999999999997</v>
      </c>
      <c r="L495" s="29">
        <f t="shared" si="192"/>
        <v>0</v>
      </c>
      <c r="M495" s="29">
        <f t="shared" si="192"/>
        <v>3179.7999999999997</v>
      </c>
      <c r="N495" s="29">
        <f t="shared" si="192"/>
        <v>3180.9</v>
      </c>
    </row>
    <row r="496" spans="1:14" s="12" customFormat="1" ht="54" x14ac:dyDescent="0.35">
      <c r="A496" s="16"/>
      <c r="B496" s="497" t="s">
        <v>213</v>
      </c>
      <c r="C496" s="28" t="s">
        <v>286</v>
      </c>
      <c r="D496" s="15" t="s">
        <v>65</v>
      </c>
      <c r="E496" s="15" t="s">
        <v>63</v>
      </c>
      <c r="F496" s="676" t="s">
        <v>50</v>
      </c>
      <c r="G496" s="677" t="s">
        <v>41</v>
      </c>
      <c r="H496" s="677" t="s">
        <v>42</v>
      </c>
      <c r="I496" s="678" t="s">
        <v>43</v>
      </c>
      <c r="J496" s="15"/>
      <c r="K496" s="29">
        <f t="shared" si="192"/>
        <v>3179.7999999999997</v>
      </c>
      <c r="L496" s="29">
        <f t="shared" si="192"/>
        <v>0</v>
      </c>
      <c r="M496" s="29">
        <f t="shared" si="192"/>
        <v>3179.7999999999997</v>
      </c>
      <c r="N496" s="29">
        <f t="shared" si="192"/>
        <v>3180.9</v>
      </c>
    </row>
    <row r="497" spans="1:14" s="12" customFormat="1" ht="36" x14ac:dyDescent="0.35">
      <c r="A497" s="16"/>
      <c r="B497" s="504" t="s">
        <v>216</v>
      </c>
      <c r="C497" s="28" t="s">
        <v>286</v>
      </c>
      <c r="D497" s="15" t="s">
        <v>65</v>
      </c>
      <c r="E497" s="15" t="s">
        <v>63</v>
      </c>
      <c r="F497" s="676" t="s">
        <v>50</v>
      </c>
      <c r="G497" s="677" t="s">
        <v>87</v>
      </c>
      <c r="H497" s="677" t="s">
        <v>42</v>
      </c>
      <c r="I497" s="678" t="s">
        <v>43</v>
      </c>
      <c r="J497" s="15"/>
      <c r="K497" s="29">
        <f t="shared" si="192"/>
        <v>3179.7999999999997</v>
      </c>
      <c r="L497" s="29">
        <f t="shared" si="192"/>
        <v>0</v>
      </c>
      <c r="M497" s="29">
        <f t="shared" si="192"/>
        <v>3179.7999999999997</v>
      </c>
      <c r="N497" s="29">
        <f t="shared" si="192"/>
        <v>3180.9</v>
      </c>
    </row>
    <row r="498" spans="1:14" s="12" customFormat="1" ht="36" x14ac:dyDescent="0.35">
      <c r="A498" s="16"/>
      <c r="B498" s="497" t="s">
        <v>278</v>
      </c>
      <c r="C498" s="28" t="s">
        <v>286</v>
      </c>
      <c r="D498" s="15" t="s">
        <v>65</v>
      </c>
      <c r="E498" s="15" t="s">
        <v>63</v>
      </c>
      <c r="F498" s="676" t="s">
        <v>50</v>
      </c>
      <c r="G498" s="677" t="s">
        <v>87</v>
      </c>
      <c r="H498" s="677" t="s">
        <v>36</v>
      </c>
      <c r="I498" s="678" t="s">
        <v>43</v>
      </c>
      <c r="J498" s="15"/>
      <c r="K498" s="29">
        <f t="shared" si="192"/>
        <v>3179.7999999999997</v>
      </c>
      <c r="L498" s="29">
        <f t="shared" si="192"/>
        <v>0</v>
      </c>
      <c r="M498" s="29">
        <f t="shared" si="192"/>
        <v>3179.7999999999997</v>
      </c>
      <c r="N498" s="29">
        <f t="shared" si="192"/>
        <v>3180.9</v>
      </c>
    </row>
    <row r="499" spans="1:14" s="12" customFormat="1" ht="36" x14ac:dyDescent="0.35">
      <c r="A499" s="16"/>
      <c r="B499" s="497" t="s">
        <v>46</v>
      </c>
      <c r="C499" s="28" t="s">
        <v>286</v>
      </c>
      <c r="D499" s="15" t="s">
        <v>65</v>
      </c>
      <c r="E499" s="15" t="s">
        <v>63</v>
      </c>
      <c r="F499" s="676" t="s">
        <v>50</v>
      </c>
      <c r="G499" s="677" t="s">
        <v>87</v>
      </c>
      <c r="H499" s="677" t="s">
        <v>36</v>
      </c>
      <c r="I499" s="678" t="s">
        <v>47</v>
      </c>
      <c r="J499" s="15"/>
      <c r="K499" s="29">
        <f>K500+K501+K502</f>
        <v>3179.7999999999997</v>
      </c>
      <c r="L499" s="29">
        <f t="shared" ref="L499" si="193">L500+L501+L502</f>
        <v>0</v>
      </c>
      <c r="M499" s="29">
        <f>M500+M501+M502</f>
        <v>3179.7999999999997</v>
      </c>
      <c r="N499" s="29">
        <f>N500+N501+N502</f>
        <v>3180.9</v>
      </c>
    </row>
    <row r="500" spans="1:14" s="12" customFormat="1" ht="108" x14ac:dyDescent="0.35">
      <c r="A500" s="16"/>
      <c r="B500" s="497" t="s">
        <v>48</v>
      </c>
      <c r="C500" s="28" t="s">
        <v>286</v>
      </c>
      <c r="D500" s="15" t="s">
        <v>65</v>
      </c>
      <c r="E500" s="15" t="s">
        <v>63</v>
      </c>
      <c r="F500" s="676" t="s">
        <v>50</v>
      </c>
      <c r="G500" s="677" t="s">
        <v>87</v>
      </c>
      <c r="H500" s="677" t="s">
        <v>36</v>
      </c>
      <c r="I500" s="678" t="s">
        <v>47</v>
      </c>
      <c r="J500" s="15" t="s">
        <v>49</v>
      </c>
      <c r="K500" s="29">
        <v>3117.5</v>
      </c>
      <c r="L500" s="29">
        <f>M500-K500</f>
        <v>0</v>
      </c>
      <c r="M500" s="29">
        <v>3117.5</v>
      </c>
      <c r="N500" s="29">
        <v>3117.5</v>
      </c>
    </row>
    <row r="501" spans="1:14" s="12" customFormat="1" ht="54" x14ac:dyDescent="0.35">
      <c r="A501" s="16"/>
      <c r="B501" s="497" t="s">
        <v>53</v>
      </c>
      <c r="C501" s="28" t="s">
        <v>286</v>
      </c>
      <c r="D501" s="15" t="s">
        <v>65</v>
      </c>
      <c r="E501" s="15" t="s">
        <v>63</v>
      </c>
      <c r="F501" s="676" t="s">
        <v>50</v>
      </c>
      <c r="G501" s="677" t="s">
        <v>87</v>
      </c>
      <c r="H501" s="677" t="s">
        <v>36</v>
      </c>
      <c r="I501" s="678" t="s">
        <v>47</v>
      </c>
      <c r="J501" s="15" t="s">
        <v>54</v>
      </c>
      <c r="K501" s="29">
        <v>60.6</v>
      </c>
      <c r="L501" s="29">
        <f>M501-K501</f>
        <v>0</v>
      </c>
      <c r="M501" s="29">
        <v>60.6</v>
      </c>
      <c r="N501" s="29">
        <v>61.8</v>
      </c>
    </row>
    <row r="502" spans="1:14" s="12" customFormat="1" ht="18" x14ac:dyDescent="0.35">
      <c r="A502" s="16"/>
      <c r="B502" s="497" t="s">
        <v>55</v>
      </c>
      <c r="C502" s="28" t="s">
        <v>286</v>
      </c>
      <c r="D502" s="15" t="s">
        <v>65</v>
      </c>
      <c r="E502" s="15" t="s">
        <v>63</v>
      </c>
      <c r="F502" s="676" t="s">
        <v>50</v>
      </c>
      <c r="G502" s="677" t="s">
        <v>87</v>
      </c>
      <c r="H502" s="677" t="s">
        <v>36</v>
      </c>
      <c r="I502" s="678" t="s">
        <v>47</v>
      </c>
      <c r="J502" s="15" t="s">
        <v>56</v>
      </c>
      <c r="K502" s="29">
        <v>1.7</v>
      </c>
      <c r="L502" s="29">
        <f>M502-K502</f>
        <v>0</v>
      </c>
      <c r="M502" s="29">
        <v>1.7</v>
      </c>
      <c r="N502" s="29">
        <v>1.6</v>
      </c>
    </row>
    <row r="503" spans="1:14" s="12" customFormat="1" ht="18" x14ac:dyDescent="0.35">
      <c r="A503" s="16"/>
      <c r="B503" s="497"/>
      <c r="C503" s="28"/>
      <c r="D503" s="15"/>
      <c r="E503" s="15"/>
      <c r="F503" s="676"/>
      <c r="G503" s="677"/>
      <c r="H503" s="677"/>
      <c r="I503" s="678"/>
      <c r="J503" s="15"/>
      <c r="K503" s="29"/>
      <c r="L503" s="29"/>
      <c r="M503" s="29"/>
      <c r="N503" s="29"/>
    </row>
    <row r="504" spans="1:14" s="116" customFormat="1" ht="52.2" x14ac:dyDescent="0.3">
      <c r="A504" s="115">
        <v>8</v>
      </c>
      <c r="B504" s="543" t="s">
        <v>11</v>
      </c>
      <c r="C504" s="23" t="s">
        <v>282</v>
      </c>
      <c r="D504" s="24"/>
      <c r="E504" s="24"/>
      <c r="F504" s="25"/>
      <c r="G504" s="26"/>
      <c r="H504" s="26"/>
      <c r="I504" s="27"/>
      <c r="J504" s="24"/>
      <c r="K504" s="37">
        <f>K518+K505</f>
        <v>8467.2000000000007</v>
      </c>
      <c r="L504" s="37">
        <f t="shared" ref="L504" si="194">L518+L505</f>
        <v>0</v>
      </c>
      <c r="M504" s="37">
        <f>M518+M505</f>
        <v>8467.2000000000007</v>
      </c>
      <c r="N504" s="37">
        <f>N518+N505</f>
        <v>8473.2000000000007</v>
      </c>
    </row>
    <row r="505" spans="1:14" s="116" customFormat="1" ht="18" x14ac:dyDescent="0.35">
      <c r="A505" s="115"/>
      <c r="B505" s="497" t="s">
        <v>35</v>
      </c>
      <c r="C505" s="28" t="s">
        <v>282</v>
      </c>
      <c r="D505" s="15" t="s">
        <v>36</v>
      </c>
      <c r="E505" s="15"/>
      <c r="F505" s="676"/>
      <c r="G505" s="677"/>
      <c r="H505" s="677"/>
      <c r="I505" s="678"/>
      <c r="J505" s="15"/>
      <c r="K505" s="211">
        <f t="shared" ref="K505:N507" si="195">K506</f>
        <v>149.19999999999999</v>
      </c>
      <c r="L505" s="211">
        <f t="shared" si="195"/>
        <v>0</v>
      </c>
      <c r="M505" s="211">
        <f t="shared" si="195"/>
        <v>149.19999999999999</v>
      </c>
      <c r="N505" s="211">
        <f t="shared" si="195"/>
        <v>149.19999999999999</v>
      </c>
    </row>
    <row r="506" spans="1:14" s="116" customFormat="1" ht="18" x14ac:dyDescent="0.35">
      <c r="A506" s="115"/>
      <c r="B506" s="497" t="s">
        <v>68</v>
      </c>
      <c r="C506" s="28" t="s">
        <v>282</v>
      </c>
      <c r="D506" s="15" t="s">
        <v>36</v>
      </c>
      <c r="E506" s="15" t="s">
        <v>69</v>
      </c>
      <c r="F506" s="676"/>
      <c r="G506" s="677"/>
      <c r="H506" s="677"/>
      <c r="I506" s="678"/>
      <c r="J506" s="15"/>
      <c r="K506" s="211">
        <f t="shared" si="195"/>
        <v>149.19999999999999</v>
      </c>
      <c r="L506" s="211">
        <f t="shared" si="195"/>
        <v>0</v>
      </c>
      <c r="M506" s="211">
        <f t="shared" si="195"/>
        <v>149.19999999999999</v>
      </c>
      <c r="N506" s="211">
        <f t="shared" si="195"/>
        <v>149.19999999999999</v>
      </c>
    </row>
    <row r="507" spans="1:14" s="116" customFormat="1" ht="54" x14ac:dyDescent="0.35">
      <c r="A507" s="115"/>
      <c r="B507" s="497" t="s">
        <v>217</v>
      </c>
      <c r="C507" s="28" t="s">
        <v>282</v>
      </c>
      <c r="D507" s="15" t="s">
        <v>36</v>
      </c>
      <c r="E507" s="15" t="s">
        <v>69</v>
      </c>
      <c r="F507" s="676" t="s">
        <v>63</v>
      </c>
      <c r="G507" s="677" t="s">
        <v>41</v>
      </c>
      <c r="H507" s="677" t="s">
        <v>42</v>
      </c>
      <c r="I507" s="678" t="s">
        <v>43</v>
      </c>
      <c r="J507" s="15"/>
      <c r="K507" s="211">
        <f t="shared" si="195"/>
        <v>149.19999999999999</v>
      </c>
      <c r="L507" s="211">
        <f t="shared" si="195"/>
        <v>0</v>
      </c>
      <c r="M507" s="211">
        <f t="shared" si="195"/>
        <v>149.19999999999999</v>
      </c>
      <c r="N507" s="211">
        <f t="shared" si="195"/>
        <v>149.19999999999999</v>
      </c>
    </row>
    <row r="508" spans="1:14" s="116" customFormat="1" ht="36" x14ac:dyDescent="0.35">
      <c r="A508" s="115"/>
      <c r="B508" s="497" t="s">
        <v>216</v>
      </c>
      <c r="C508" s="28" t="s">
        <v>282</v>
      </c>
      <c r="D508" s="15" t="s">
        <v>36</v>
      </c>
      <c r="E508" s="15" t="s">
        <v>69</v>
      </c>
      <c r="F508" s="676" t="s">
        <v>63</v>
      </c>
      <c r="G508" s="677" t="s">
        <v>87</v>
      </c>
      <c r="H508" s="677" t="s">
        <v>42</v>
      </c>
      <c r="I508" s="678" t="s">
        <v>43</v>
      </c>
      <c r="J508" s="15"/>
      <c r="K508" s="211">
        <f>K509+K512+K515</f>
        <v>149.19999999999999</v>
      </c>
      <c r="L508" s="211">
        <f t="shared" ref="L508" si="196">L509+L512+L515</f>
        <v>0</v>
      </c>
      <c r="M508" s="211">
        <f>M509+M512+M515</f>
        <v>149.19999999999999</v>
      </c>
      <c r="N508" s="211">
        <f>N509+N512+N515</f>
        <v>149.19999999999999</v>
      </c>
    </row>
    <row r="509" spans="1:14" s="116" customFormat="1" ht="36" x14ac:dyDescent="0.35">
      <c r="A509" s="115"/>
      <c r="B509" s="568" t="s">
        <v>347</v>
      </c>
      <c r="C509" s="28" t="s">
        <v>282</v>
      </c>
      <c r="D509" s="15" t="s">
        <v>36</v>
      </c>
      <c r="E509" s="15" t="s">
        <v>69</v>
      </c>
      <c r="F509" s="676" t="s">
        <v>63</v>
      </c>
      <c r="G509" s="677" t="s">
        <v>87</v>
      </c>
      <c r="H509" s="677" t="s">
        <v>38</v>
      </c>
      <c r="I509" s="678" t="s">
        <v>43</v>
      </c>
      <c r="J509" s="15"/>
      <c r="K509" s="211">
        <f t="shared" ref="K509:N510" si="197">K510</f>
        <v>87.3</v>
      </c>
      <c r="L509" s="211">
        <f t="shared" si="197"/>
        <v>0</v>
      </c>
      <c r="M509" s="211">
        <f t="shared" si="197"/>
        <v>87.3</v>
      </c>
      <c r="N509" s="211">
        <f t="shared" si="197"/>
        <v>87.3</v>
      </c>
    </row>
    <row r="510" spans="1:14" s="116" customFormat="1" ht="54" x14ac:dyDescent="0.35">
      <c r="A510" s="115"/>
      <c r="B510" s="568" t="s">
        <v>348</v>
      </c>
      <c r="C510" s="28" t="s">
        <v>282</v>
      </c>
      <c r="D510" s="15" t="s">
        <v>36</v>
      </c>
      <c r="E510" s="15" t="s">
        <v>69</v>
      </c>
      <c r="F510" s="676" t="s">
        <v>63</v>
      </c>
      <c r="G510" s="677" t="s">
        <v>87</v>
      </c>
      <c r="H510" s="677" t="s">
        <v>38</v>
      </c>
      <c r="I510" s="678" t="s">
        <v>103</v>
      </c>
      <c r="J510" s="15"/>
      <c r="K510" s="211">
        <f t="shared" si="197"/>
        <v>87.3</v>
      </c>
      <c r="L510" s="211">
        <f t="shared" si="197"/>
        <v>0</v>
      </c>
      <c r="M510" s="211">
        <f t="shared" si="197"/>
        <v>87.3</v>
      </c>
      <c r="N510" s="211">
        <f t="shared" si="197"/>
        <v>87.3</v>
      </c>
    </row>
    <row r="511" spans="1:14" s="116" customFormat="1" ht="54" x14ac:dyDescent="0.35">
      <c r="A511" s="115"/>
      <c r="B511" s="568" t="s">
        <v>53</v>
      </c>
      <c r="C511" s="28" t="s">
        <v>282</v>
      </c>
      <c r="D511" s="15" t="s">
        <v>36</v>
      </c>
      <c r="E511" s="15" t="s">
        <v>69</v>
      </c>
      <c r="F511" s="676" t="s">
        <v>63</v>
      </c>
      <c r="G511" s="677" t="s">
        <v>87</v>
      </c>
      <c r="H511" s="677" t="s">
        <v>38</v>
      </c>
      <c r="I511" s="678" t="s">
        <v>103</v>
      </c>
      <c r="J511" s="15" t="s">
        <v>54</v>
      </c>
      <c r="K511" s="211">
        <v>87.3</v>
      </c>
      <c r="L511" s="29">
        <f>M511-K511</f>
        <v>0</v>
      </c>
      <c r="M511" s="211">
        <v>87.3</v>
      </c>
      <c r="N511" s="211">
        <v>87.3</v>
      </c>
    </row>
    <row r="512" spans="1:14" s="116" customFormat="1" ht="36" x14ac:dyDescent="0.35">
      <c r="A512" s="115"/>
      <c r="B512" s="497" t="s">
        <v>458</v>
      </c>
      <c r="C512" s="28" t="s">
        <v>282</v>
      </c>
      <c r="D512" s="15" t="s">
        <v>36</v>
      </c>
      <c r="E512" s="15" t="s">
        <v>69</v>
      </c>
      <c r="F512" s="676" t="s">
        <v>63</v>
      </c>
      <c r="G512" s="677" t="s">
        <v>87</v>
      </c>
      <c r="H512" s="677" t="s">
        <v>61</v>
      </c>
      <c r="I512" s="678" t="s">
        <v>43</v>
      </c>
      <c r="J512" s="15"/>
      <c r="K512" s="211">
        <f t="shared" ref="K512:N513" si="198">K513</f>
        <v>15.4</v>
      </c>
      <c r="L512" s="211">
        <f t="shared" si="198"/>
        <v>0</v>
      </c>
      <c r="M512" s="211">
        <f t="shared" si="198"/>
        <v>15.4</v>
      </c>
      <c r="N512" s="211">
        <f t="shared" si="198"/>
        <v>15.4</v>
      </c>
    </row>
    <row r="513" spans="1:14" s="116" customFormat="1" ht="18" x14ac:dyDescent="0.35">
      <c r="A513" s="115"/>
      <c r="B513" s="497" t="s">
        <v>456</v>
      </c>
      <c r="C513" s="28" t="s">
        <v>282</v>
      </c>
      <c r="D513" s="15" t="s">
        <v>36</v>
      </c>
      <c r="E513" s="15" t="s">
        <v>69</v>
      </c>
      <c r="F513" s="676" t="s">
        <v>63</v>
      </c>
      <c r="G513" s="677" t="s">
        <v>87</v>
      </c>
      <c r="H513" s="677" t="s">
        <v>61</v>
      </c>
      <c r="I513" s="678" t="s">
        <v>457</v>
      </c>
      <c r="J513" s="15"/>
      <c r="K513" s="211">
        <f t="shared" si="198"/>
        <v>15.4</v>
      </c>
      <c r="L513" s="211">
        <f t="shared" si="198"/>
        <v>0</v>
      </c>
      <c r="M513" s="211">
        <f t="shared" si="198"/>
        <v>15.4</v>
      </c>
      <c r="N513" s="211">
        <f t="shared" si="198"/>
        <v>15.4</v>
      </c>
    </row>
    <row r="514" spans="1:14" s="116" customFormat="1" ht="54" x14ac:dyDescent="0.35">
      <c r="A514" s="115"/>
      <c r="B514" s="568" t="s">
        <v>53</v>
      </c>
      <c r="C514" s="28" t="s">
        <v>282</v>
      </c>
      <c r="D514" s="15" t="s">
        <v>36</v>
      </c>
      <c r="E514" s="15" t="s">
        <v>69</v>
      </c>
      <c r="F514" s="676" t="s">
        <v>63</v>
      </c>
      <c r="G514" s="677" t="s">
        <v>87</v>
      </c>
      <c r="H514" s="677" t="s">
        <v>61</v>
      </c>
      <c r="I514" s="678" t="s">
        <v>457</v>
      </c>
      <c r="J514" s="33" t="s">
        <v>54</v>
      </c>
      <c r="K514" s="211">
        <v>15.4</v>
      </c>
      <c r="L514" s="29">
        <f>M514-K514</f>
        <v>0</v>
      </c>
      <c r="M514" s="211">
        <v>15.4</v>
      </c>
      <c r="N514" s="211">
        <v>15.4</v>
      </c>
    </row>
    <row r="515" spans="1:14" s="116" customFormat="1" ht="36" x14ac:dyDescent="0.35">
      <c r="A515" s="115"/>
      <c r="B515" s="568" t="s">
        <v>461</v>
      </c>
      <c r="C515" s="28" t="s">
        <v>282</v>
      </c>
      <c r="D515" s="15" t="s">
        <v>36</v>
      </c>
      <c r="E515" s="15" t="s">
        <v>69</v>
      </c>
      <c r="F515" s="676" t="s">
        <v>63</v>
      </c>
      <c r="G515" s="677" t="s">
        <v>87</v>
      </c>
      <c r="H515" s="677" t="s">
        <v>50</v>
      </c>
      <c r="I515" s="678" t="s">
        <v>43</v>
      </c>
      <c r="J515" s="24"/>
      <c r="K515" s="211">
        <f t="shared" ref="K515:N516" si="199">K516</f>
        <v>46.5</v>
      </c>
      <c r="L515" s="211">
        <f t="shared" si="199"/>
        <v>0</v>
      </c>
      <c r="M515" s="211">
        <f t="shared" si="199"/>
        <v>46.5</v>
      </c>
      <c r="N515" s="211">
        <f t="shared" si="199"/>
        <v>46.5</v>
      </c>
    </row>
    <row r="516" spans="1:14" s="116" customFormat="1" ht="36" x14ac:dyDescent="0.35">
      <c r="A516" s="115"/>
      <c r="B516" s="569" t="s">
        <v>125</v>
      </c>
      <c r="C516" s="28" t="s">
        <v>282</v>
      </c>
      <c r="D516" s="15" t="s">
        <v>36</v>
      </c>
      <c r="E516" s="15" t="s">
        <v>69</v>
      </c>
      <c r="F516" s="676" t="s">
        <v>63</v>
      </c>
      <c r="G516" s="677" t="s">
        <v>87</v>
      </c>
      <c r="H516" s="677" t="s">
        <v>50</v>
      </c>
      <c r="I516" s="678" t="s">
        <v>88</v>
      </c>
      <c r="J516" s="24"/>
      <c r="K516" s="211">
        <f t="shared" si="199"/>
        <v>46.5</v>
      </c>
      <c r="L516" s="211">
        <f t="shared" si="199"/>
        <v>0</v>
      </c>
      <c r="M516" s="211">
        <f t="shared" si="199"/>
        <v>46.5</v>
      </c>
      <c r="N516" s="211">
        <f t="shared" si="199"/>
        <v>46.5</v>
      </c>
    </row>
    <row r="517" spans="1:14" s="116" customFormat="1" ht="54" x14ac:dyDescent="0.35">
      <c r="A517" s="115"/>
      <c r="B517" s="568" t="s">
        <v>53</v>
      </c>
      <c r="C517" s="28" t="s">
        <v>282</v>
      </c>
      <c r="D517" s="15" t="s">
        <v>36</v>
      </c>
      <c r="E517" s="15" t="s">
        <v>69</v>
      </c>
      <c r="F517" s="676" t="s">
        <v>63</v>
      </c>
      <c r="G517" s="677" t="s">
        <v>87</v>
      </c>
      <c r="H517" s="677" t="s">
        <v>50</v>
      </c>
      <c r="I517" s="678" t="s">
        <v>88</v>
      </c>
      <c r="J517" s="33" t="s">
        <v>54</v>
      </c>
      <c r="K517" s="211">
        <v>46.5</v>
      </c>
      <c r="L517" s="29">
        <f>M517-K517</f>
        <v>0</v>
      </c>
      <c r="M517" s="211">
        <v>46.5</v>
      </c>
      <c r="N517" s="211">
        <v>46.5</v>
      </c>
    </row>
    <row r="518" spans="1:14" s="12" customFormat="1" ht="18" x14ac:dyDescent="0.35">
      <c r="A518" s="115"/>
      <c r="B518" s="497" t="s">
        <v>176</v>
      </c>
      <c r="C518" s="28" t="s">
        <v>282</v>
      </c>
      <c r="D518" s="15" t="s">
        <v>220</v>
      </c>
      <c r="E518" s="15"/>
      <c r="F518" s="676"/>
      <c r="G518" s="677"/>
      <c r="H518" s="677"/>
      <c r="I518" s="678"/>
      <c r="J518" s="15"/>
      <c r="K518" s="29">
        <f>K519+K527</f>
        <v>8318</v>
      </c>
      <c r="L518" s="29">
        <f t="shared" ref="L518" si="200">L519+L527</f>
        <v>0</v>
      </c>
      <c r="M518" s="29">
        <f>M519+M527</f>
        <v>8318</v>
      </c>
      <c r="N518" s="29">
        <f>N519+N527</f>
        <v>8324</v>
      </c>
    </row>
    <row r="519" spans="1:14" s="116" customFormat="1" ht="18" x14ac:dyDescent="0.35">
      <c r="A519" s="115"/>
      <c r="B519" s="497" t="s">
        <v>346</v>
      </c>
      <c r="C519" s="28" t="s">
        <v>282</v>
      </c>
      <c r="D519" s="15" t="s">
        <v>220</v>
      </c>
      <c r="E519" s="15" t="s">
        <v>220</v>
      </c>
      <c r="F519" s="676"/>
      <c r="G519" s="677"/>
      <c r="H519" s="677"/>
      <c r="I519" s="678"/>
      <c r="J519" s="15"/>
      <c r="K519" s="29">
        <f>K520</f>
        <v>4526.8999999999996</v>
      </c>
      <c r="L519" s="29">
        <f t="shared" ref="L519" si="201">L520</f>
        <v>0</v>
      </c>
      <c r="M519" s="29">
        <f>M520</f>
        <v>4526.8999999999996</v>
      </c>
      <c r="N519" s="29">
        <f>N520</f>
        <v>4526.8999999999996</v>
      </c>
    </row>
    <row r="520" spans="1:14" s="116" customFormat="1" ht="54" x14ac:dyDescent="0.35">
      <c r="A520" s="115"/>
      <c r="B520" s="497" t="s">
        <v>217</v>
      </c>
      <c r="C520" s="28" t="s">
        <v>282</v>
      </c>
      <c r="D520" s="15" t="s">
        <v>220</v>
      </c>
      <c r="E520" s="15" t="s">
        <v>220</v>
      </c>
      <c r="F520" s="676" t="s">
        <v>63</v>
      </c>
      <c r="G520" s="677" t="s">
        <v>41</v>
      </c>
      <c r="H520" s="677" t="s">
        <v>42</v>
      </c>
      <c r="I520" s="678" t="s">
        <v>43</v>
      </c>
      <c r="J520" s="15"/>
      <c r="K520" s="29">
        <f t="shared" ref="K520:N522" si="202">K521</f>
        <v>4526.8999999999996</v>
      </c>
      <c r="L520" s="29">
        <f t="shared" si="202"/>
        <v>0</v>
      </c>
      <c r="M520" s="29">
        <f t="shared" si="202"/>
        <v>4526.8999999999996</v>
      </c>
      <c r="N520" s="29">
        <f t="shared" si="202"/>
        <v>4526.8999999999996</v>
      </c>
    </row>
    <row r="521" spans="1:14" s="116" customFormat="1" ht="18" x14ac:dyDescent="0.35">
      <c r="A521" s="115"/>
      <c r="B521" s="497" t="s">
        <v>218</v>
      </c>
      <c r="C521" s="28" t="s">
        <v>282</v>
      </c>
      <c r="D521" s="15" t="s">
        <v>220</v>
      </c>
      <c r="E521" s="15" t="s">
        <v>220</v>
      </c>
      <c r="F521" s="676" t="s">
        <v>63</v>
      </c>
      <c r="G521" s="677" t="s">
        <v>44</v>
      </c>
      <c r="H521" s="677" t="s">
        <v>42</v>
      </c>
      <c r="I521" s="678" t="s">
        <v>43</v>
      </c>
      <c r="J521" s="15"/>
      <c r="K521" s="29">
        <f t="shared" si="202"/>
        <v>4526.8999999999996</v>
      </c>
      <c r="L521" s="29">
        <f t="shared" si="202"/>
        <v>0</v>
      </c>
      <c r="M521" s="29">
        <f t="shared" si="202"/>
        <v>4526.8999999999996</v>
      </c>
      <c r="N521" s="29">
        <f t="shared" si="202"/>
        <v>4526.8999999999996</v>
      </c>
    </row>
    <row r="522" spans="1:14" s="116" customFormat="1" ht="72" x14ac:dyDescent="0.35">
      <c r="A522" s="115"/>
      <c r="B522" s="497" t="s">
        <v>283</v>
      </c>
      <c r="C522" s="28" t="s">
        <v>282</v>
      </c>
      <c r="D522" s="15" t="s">
        <v>220</v>
      </c>
      <c r="E522" s="15" t="s">
        <v>220</v>
      </c>
      <c r="F522" s="676" t="s">
        <v>63</v>
      </c>
      <c r="G522" s="677" t="s">
        <v>44</v>
      </c>
      <c r="H522" s="677" t="s">
        <v>36</v>
      </c>
      <c r="I522" s="678" t="s">
        <v>43</v>
      </c>
      <c r="J522" s="15"/>
      <c r="K522" s="29">
        <f>K523</f>
        <v>4526.8999999999996</v>
      </c>
      <c r="L522" s="29">
        <f t="shared" si="202"/>
        <v>0</v>
      </c>
      <c r="M522" s="29">
        <f>M523</f>
        <v>4526.8999999999996</v>
      </c>
      <c r="N522" s="29">
        <f>N523</f>
        <v>4526.8999999999996</v>
      </c>
    </row>
    <row r="523" spans="1:14" s="116" customFormat="1" ht="36" x14ac:dyDescent="0.35">
      <c r="A523" s="115"/>
      <c r="B523" s="573" t="s">
        <v>454</v>
      </c>
      <c r="C523" s="28" t="s">
        <v>282</v>
      </c>
      <c r="D523" s="15" t="s">
        <v>220</v>
      </c>
      <c r="E523" s="15" t="s">
        <v>220</v>
      </c>
      <c r="F523" s="676" t="s">
        <v>63</v>
      </c>
      <c r="G523" s="677" t="s">
        <v>44</v>
      </c>
      <c r="H523" s="677" t="s">
        <v>36</v>
      </c>
      <c r="I523" s="678" t="s">
        <v>89</v>
      </c>
      <c r="J523" s="15"/>
      <c r="K523" s="29">
        <f>K524+K525+K526</f>
        <v>4526.8999999999996</v>
      </c>
      <c r="L523" s="29">
        <f t="shared" ref="L523" si="203">L524+L525+L526</f>
        <v>0</v>
      </c>
      <c r="M523" s="29">
        <f>M524+M525+M526</f>
        <v>4526.8999999999996</v>
      </c>
      <c r="N523" s="29">
        <f>N524+N525+N526</f>
        <v>4526.8999999999996</v>
      </c>
    </row>
    <row r="524" spans="1:14" s="116" customFormat="1" ht="108" x14ac:dyDescent="0.35">
      <c r="A524" s="16"/>
      <c r="B524" s="497" t="s">
        <v>48</v>
      </c>
      <c r="C524" s="28" t="s">
        <v>282</v>
      </c>
      <c r="D524" s="15" t="s">
        <v>220</v>
      </c>
      <c r="E524" s="15" t="s">
        <v>220</v>
      </c>
      <c r="F524" s="676" t="s">
        <v>63</v>
      </c>
      <c r="G524" s="677" t="s">
        <v>44</v>
      </c>
      <c r="H524" s="677" t="s">
        <v>36</v>
      </c>
      <c r="I524" s="678" t="s">
        <v>89</v>
      </c>
      <c r="J524" s="15" t="s">
        <v>49</v>
      </c>
      <c r="K524" s="29">
        <v>4152.7</v>
      </c>
      <c r="L524" s="29">
        <f>M524-K524</f>
        <v>0</v>
      </c>
      <c r="M524" s="29">
        <v>4152.7</v>
      </c>
      <c r="N524" s="29">
        <v>4152.7</v>
      </c>
    </row>
    <row r="525" spans="1:14" s="12" customFormat="1" ht="54" x14ac:dyDescent="0.35">
      <c r="A525" s="16"/>
      <c r="B525" s="497" t="s">
        <v>53</v>
      </c>
      <c r="C525" s="28" t="s">
        <v>282</v>
      </c>
      <c r="D525" s="15" t="s">
        <v>220</v>
      </c>
      <c r="E525" s="15" t="s">
        <v>220</v>
      </c>
      <c r="F525" s="676" t="s">
        <v>63</v>
      </c>
      <c r="G525" s="677" t="s">
        <v>44</v>
      </c>
      <c r="H525" s="677" t="s">
        <v>36</v>
      </c>
      <c r="I525" s="678" t="s">
        <v>89</v>
      </c>
      <c r="J525" s="15" t="s">
        <v>54</v>
      </c>
      <c r="K525" s="29">
        <v>371.5</v>
      </c>
      <c r="L525" s="29">
        <f>M525-K525</f>
        <v>0</v>
      </c>
      <c r="M525" s="29">
        <v>371.5</v>
      </c>
      <c r="N525" s="29">
        <v>371.5</v>
      </c>
    </row>
    <row r="526" spans="1:14" s="12" customFormat="1" ht="18" x14ac:dyDescent="0.35">
      <c r="A526" s="16"/>
      <c r="B526" s="497" t="s">
        <v>55</v>
      </c>
      <c r="C526" s="28" t="s">
        <v>282</v>
      </c>
      <c r="D526" s="15" t="s">
        <v>220</v>
      </c>
      <c r="E526" s="15" t="s">
        <v>220</v>
      </c>
      <c r="F526" s="676" t="s">
        <v>63</v>
      </c>
      <c r="G526" s="677" t="s">
        <v>44</v>
      </c>
      <c r="H526" s="677" t="s">
        <v>36</v>
      </c>
      <c r="I526" s="678" t="s">
        <v>89</v>
      </c>
      <c r="J526" s="15" t="s">
        <v>56</v>
      </c>
      <c r="K526" s="29">
        <v>2.7</v>
      </c>
      <c r="L526" s="29">
        <f>M526-K526</f>
        <v>0</v>
      </c>
      <c r="M526" s="29">
        <v>2.7</v>
      </c>
      <c r="N526" s="29">
        <v>2.7</v>
      </c>
    </row>
    <row r="527" spans="1:14" s="12" customFormat="1" ht="18" x14ac:dyDescent="0.35">
      <c r="A527" s="16"/>
      <c r="B527" s="497" t="s">
        <v>183</v>
      </c>
      <c r="C527" s="148" t="s">
        <v>282</v>
      </c>
      <c r="D527" s="15" t="s">
        <v>220</v>
      </c>
      <c r="E527" s="15" t="s">
        <v>77</v>
      </c>
      <c r="F527" s="676"/>
      <c r="G527" s="677"/>
      <c r="H527" s="677"/>
      <c r="I527" s="678"/>
      <c r="J527" s="15"/>
      <c r="K527" s="29">
        <f t="shared" ref="K527:N530" si="204">K528</f>
        <v>3791.1</v>
      </c>
      <c r="L527" s="29">
        <f t="shared" si="204"/>
        <v>0</v>
      </c>
      <c r="M527" s="29">
        <f t="shared" si="204"/>
        <v>3791.1</v>
      </c>
      <c r="N527" s="29">
        <f t="shared" si="204"/>
        <v>3797.1</v>
      </c>
    </row>
    <row r="528" spans="1:14" s="12" customFormat="1" ht="54" x14ac:dyDescent="0.35">
      <c r="A528" s="16"/>
      <c r="B528" s="497" t="s">
        <v>217</v>
      </c>
      <c r="C528" s="148" t="s">
        <v>282</v>
      </c>
      <c r="D528" s="15" t="s">
        <v>220</v>
      </c>
      <c r="E528" s="15" t="s">
        <v>77</v>
      </c>
      <c r="F528" s="676" t="s">
        <v>63</v>
      </c>
      <c r="G528" s="677" t="s">
        <v>41</v>
      </c>
      <c r="H528" s="677" t="s">
        <v>42</v>
      </c>
      <c r="I528" s="678" t="s">
        <v>43</v>
      </c>
      <c r="J528" s="15"/>
      <c r="K528" s="29">
        <f t="shared" si="204"/>
        <v>3791.1</v>
      </c>
      <c r="L528" s="29">
        <f t="shared" si="204"/>
        <v>0</v>
      </c>
      <c r="M528" s="29">
        <f t="shared" si="204"/>
        <v>3791.1</v>
      </c>
      <c r="N528" s="29">
        <f t="shared" si="204"/>
        <v>3797.1</v>
      </c>
    </row>
    <row r="529" spans="1:14" s="12" customFormat="1" ht="36" x14ac:dyDescent="0.35">
      <c r="A529" s="16"/>
      <c r="B529" s="497" t="s">
        <v>216</v>
      </c>
      <c r="C529" s="28" t="s">
        <v>282</v>
      </c>
      <c r="D529" s="15" t="s">
        <v>220</v>
      </c>
      <c r="E529" s="15" t="s">
        <v>77</v>
      </c>
      <c r="F529" s="676" t="s">
        <v>63</v>
      </c>
      <c r="G529" s="677" t="s">
        <v>87</v>
      </c>
      <c r="H529" s="677" t="s">
        <v>42</v>
      </c>
      <c r="I529" s="678" t="s">
        <v>43</v>
      </c>
      <c r="J529" s="15"/>
      <c r="K529" s="29">
        <f t="shared" si="204"/>
        <v>3791.1</v>
      </c>
      <c r="L529" s="29">
        <f t="shared" si="204"/>
        <v>0</v>
      </c>
      <c r="M529" s="29">
        <f t="shared" si="204"/>
        <v>3791.1</v>
      </c>
      <c r="N529" s="29">
        <f t="shared" si="204"/>
        <v>3797.1</v>
      </c>
    </row>
    <row r="530" spans="1:14" s="116" customFormat="1" ht="36" x14ac:dyDescent="0.35">
      <c r="A530" s="16"/>
      <c r="B530" s="497" t="s">
        <v>278</v>
      </c>
      <c r="C530" s="28" t="s">
        <v>282</v>
      </c>
      <c r="D530" s="15" t="s">
        <v>220</v>
      </c>
      <c r="E530" s="15" t="s">
        <v>77</v>
      </c>
      <c r="F530" s="676" t="s">
        <v>63</v>
      </c>
      <c r="G530" s="677" t="s">
        <v>87</v>
      </c>
      <c r="H530" s="677" t="s">
        <v>36</v>
      </c>
      <c r="I530" s="678" t="s">
        <v>43</v>
      </c>
      <c r="J530" s="15"/>
      <c r="K530" s="29">
        <f t="shared" si="204"/>
        <v>3791.1</v>
      </c>
      <c r="L530" s="29">
        <f t="shared" si="204"/>
        <v>0</v>
      </c>
      <c r="M530" s="29">
        <f t="shared" si="204"/>
        <v>3791.1</v>
      </c>
      <c r="N530" s="29">
        <f t="shared" si="204"/>
        <v>3797.1</v>
      </c>
    </row>
    <row r="531" spans="1:14" s="12" customFormat="1" ht="36" x14ac:dyDescent="0.35">
      <c r="A531" s="16"/>
      <c r="B531" s="497" t="s">
        <v>46</v>
      </c>
      <c r="C531" s="28" t="s">
        <v>282</v>
      </c>
      <c r="D531" s="15" t="s">
        <v>220</v>
      </c>
      <c r="E531" s="15" t="s">
        <v>77</v>
      </c>
      <c r="F531" s="676" t="s">
        <v>63</v>
      </c>
      <c r="G531" s="677" t="s">
        <v>87</v>
      </c>
      <c r="H531" s="677" t="s">
        <v>36</v>
      </c>
      <c r="I531" s="678" t="s">
        <v>47</v>
      </c>
      <c r="J531" s="15"/>
      <c r="K531" s="29">
        <f>K532+K533+K534</f>
        <v>3791.1</v>
      </c>
      <c r="L531" s="29">
        <f t="shared" ref="L531" si="205">L532+L533+L534</f>
        <v>0</v>
      </c>
      <c r="M531" s="29">
        <f>M532+M533+M534</f>
        <v>3791.1</v>
      </c>
      <c r="N531" s="29">
        <f>N532+N533+N534</f>
        <v>3797.1</v>
      </c>
    </row>
    <row r="532" spans="1:14" s="12" customFormat="1" ht="108" x14ac:dyDescent="0.35">
      <c r="A532" s="16"/>
      <c r="B532" s="497" t="s">
        <v>48</v>
      </c>
      <c r="C532" s="28" t="s">
        <v>282</v>
      </c>
      <c r="D532" s="15" t="s">
        <v>220</v>
      </c>
      <c r="E532" s="15" t="s">
        <v>77</v>
      </c>
      <c r="F532" s="676" t="s">
        <v>63</v>
      </c>
      <c r="G532" s="677" t="s">
        <v>87</v>
      </c>
      <c r="H532" s="677" t="s">
        <v>36</v>
      </c>
      <c r="I532" s="678" t="s">
        <v>47</v>
      </c>
      <c r="J532" s="15" t="s">
        <v>49</v>
      </c>
      <c r="K532" s="29">
        <f>3392.2+22.4</f>
        <v>3414.6</v>
      </c>
      <c r="L532" s="29">
        <f>M532-K532</f>
        <v>0</v>
      </c>
      <c r="M532" s="29">
        <f>3392.2+22.4</f>
        <v>3414.6</v>
      </c>
      <c r="N532" s="29">
        <f>3392.2+22.4</f>
        <v>3414.6</v>
      </c>
    </row>
    <row r="533" spans="1:14" s="12" customFormat="1" ht="54" x14ac:dyDescent="0.35">
      <c r="A533" s="16"/>
      <c r="B533" s="497" t="s">
        <v>53</v>
      </c>
      <c r="C533" s="148" t="s">
        <v>282</v>
      </c>
      <c r="D533" s="95" t="s">
        <v>220</v>
      </c>
      <c r="E533" s="95" t="s">
        <v>77</v>
      </c>
      <c r="F533" s="676" t="s">
        <v>63</v>
      </c>
      <c r="G533" s="677" t="s">
        <v>87</v>
      </c>
      <c r="H533" s="677" t="s">
        <v>36</v>
      </c>
      <c r="I533" s="678" t="s">
        <v>47</v>
      </c>
      <c r="J533" s="15" t="s">
        <v>54</v>
      </c>
      <c r="K533" s="29">
        <v>375.3</v>
      </c>
      <c r="L533" s="29">
        <f>M533-K533</f>
        <v>0</v>
      </c>
      <c r="M533" s="29">
        <v>375.3</v>
      </c>
      <c r="N533" s="29">
        <v>381.3</v>
      </c>
    </row>
    <row r="534" spans="1:14" s="12" customFormat="1" ht="18" x14ac:dyDescent="0.35">
      <c r="A534" s="16"/>
      <c r="B534" s="497" t="s">
        <v>55</v>
      </c>
      <c r="C534" s="148" t="s">
        <v>282</v>
      </c>
      <c r="D534" s="95" t="s">
        <v>220</v>
      </c>
      <c r="E534" s="95" t="s">
        <v>77</v>
      </c>
      <c r="F534" s="676" t="s">
        <v>63</v>
      </c>
      <c r="G534" s="677" t="s">
        <v>87</v>
      </c>
      <c r="H534" s="677" t="s">
        <v>36</v>
      </c>
      <c r="I534" s="678" t="s">
        <v>47</v>
      </c>
      <c r="J534" s="15" t="s">
        <v>56</v>
      </c>
      <c r="K534" s="29">
        <v>1.2</v>
      </c>
      <c r="L534" s="29">
        <f>M534-K534</f>
        <v>0</v>
      </c>
      <c r="M534" s="29">
        <v>1.2</v>
      </c>
      <c r="N534" s="29">
        <v>1.2</v>
      </c>
    </row>
    <row r="535" spans="1:14" s="12" customFormat="1" ht="18" x14ac:dyDescent="0.35">
      <c r="A535" s="16"/>
      <c r="B535" s="497"/>
      <c r="C535" s="148"/>
      <c r="D535" s="95"/>
      <c r="E535" s="95"/>
      <c r="F535" s="676"/>
      <c r="G535" s="677"/>
      <c r="H535" s="677"/>
      <c r="I535" s="678"/>
      <c r="J535" s="15"/>
      <c r="K535" s="29"/>
      <c r="L535" s="29"/>
      <c r="M535" s="29"/>
      <c r="N535" s="29"/>
    </row>
    <row r="536" spans="1:14" s="116" customFormat="1" ht="52.2" x14ac:dyDescent="0.3">
      <c r="A536" s="115">
        <v>9</v>
      </c>
      <c r="B536" s="543" t="s">
        <v>12</v>
      </c>
      <c r="C536" s="23" t="s">
        <v>290</v>
      </c>
      <c r="D536" s="24"/>
      <c r="E536" s="24"/>
      <c r="F536" s="25"/>
      <c r="G536" s="26"/>
      <c r="H536" s="26"/>
      <c r="I536" s="27"/>
      <c r="J536" s="24"/>
      <c r="K536" s="37">
        <f>K537</f>
        <v>76105.099999999991</v>
      </c>
      <c r="L536" s="37">
        <f t="shared" ref="L536" si="206">L537</f>
        <v>142.9</v>
      </c>
      <c r="M536" s="37">
        <f>M537</f>
        <v>76247.999999999985</v>
      </c>
      <c r="N536" s="37">
        <f>N537</f>
        <v>78334.199999999983</v>
      </c>
    </row>
    <row r="537" spans="1:14" s="12" customFormat="1" ht="18" x14ac:dyDescent="0.35">
      <c r="A537" s="16"/>
      <c r="B537" s="546" t="s">
        <v>117</v>
      </c>
      <c r="C537" s="28" t="s">
        <v>290</v>
      </c>
      <c r="D537" s="15" t="s">
        <v>102</v>
      </c>
      <c r="E537" s="15"/>
      <c r="F537" s="676"/>
      <c r="G537" s="677"/>
      <c r="H537" s="677"/>
      <c r="I537" s="678"/>
      <c r="J537" s="15"/>
      <c r="K537" s="29">
        <f>K538+K556</f>
        <v>76105.099999999991</v>
      </c>
      <c r="L537" s="29">
        <f t="shared" ref="L537" si="207">L538+L556</f>
        <v>142.9</v>
      </c>
      <c r="M537" s="29">
        <f>M538+M556</f>
        <v>76247.999999999985</v>
      </c>
      <c r="N537" s="29">
        <f>N538+N556</f>
        <v>78334.199999999983</v>
      </c>
    </row>
    <row r="538" spans="1:14" s="12" customFormat="1" ht="18" x14ac:dyDescent="0.35">
      <c r="A538" s="16"/>
      <c r="B538" s="497" t="s">
        <v>190</v>
      </c>
      <c r="C538" s="28" t="s">
        <v>290</v>
      </c>
      <c r="D538" s="15" t="s">
        <v>102</v>
      </c>
      <c r="E538" s="15" t="s">
        <v>50</v>
      </c>
      <c r="F538" s="676"/>
      <c r="G538" s="677"/>
      <c r="H538" s="677"/>
      <c r="I538" s="678"/>
      <c r="J538" s="15"/>
      <c r="K538" s="29">
        <f t="shared" ref="K538:N540" si="208">K539</f>
        <v>66853.599999999991</v>
      </c>
      <c r="L538" s="29">
        <f t="shared" si="208"/>
        <v>142.9</v>
      </c>
      <c r="M538" s="29">
        <f t="shared" si="208"/>
        <v>66996.499999999985</v>
      </c>
      <c r="N538" s="29">
        <f t="shared" si="208"/>
        <v>68556.999999999985</v>
      </c>
    </row>
    <row r="539" spans="1:14" s="12" customFormat="1" ht="54" x14ac:dyDescent="0.35">
      <c r="A539" s="16"/>
      <c r="B539" s="504" t="s">
        <v>226</v>
      </c>
      <c r="C539" s="28" t="s">
        <v>290</v>
      </c>
      <c r="D539" s="15" t="s">
        <v>102</v>
      </c>
      <c r="E539" s="15" t="s">
        <v>50</v>
      </c>
      <c r="F539" s="676" t="s">
        <v>77</v>
      </c>
      <c r="G539" s="677" t="s">
        <v>41</v>
      </c>
      <c r="H539" s="677" t="s">
        <v>42</v>
      </c>
      <c r="I539" s="678" t="s">
        <v>43</v>
      </c>
      <c r="J539" s="15"/>
      <c r="K539" s="29">
        <f t="shared" si="208"/>
        <v>66853.599999999991</v>
      </c>
      <c r="L539" s="29">
        <f t="shared" si="208"/>
        <v>142.9</v>
      </c>
      <c r="M539" s="29">
        <f t="shared" si="208"/>
        <v>66996.499999999985</v>
      </c>
      <c r="N539" s="29">
        <f t="shared" si="208"/>
        <v>68556.999999999985</v>
      </c>
    </row>
    <row r="540" spans="1:14" s="12" customFormat="1" ht="36" x14ac:dyDescent="0.35">
      <c r="A540" s="16"/>
      <c r="B540" s="497" t="s">
        <v>335</v>
      </c>
      <c r="C540" s="28" t="s">
        <v>290</v>
      </c>
      <c r="D540" s="15" t="s">
        <v>102</v>
      </c>
      <c r="E540" s="15" t="s">
        <v>50</v>
      </c>
      <c r="F540" s="676" t="s">
        <v>77</v>
      </c>
      <c r="G540" s="677" t="s">
        <v>44</v>
      </c>
      <c r="H540" s="677" t="s">
        <v>42</v>
      </c>
      <c r="I540" s="678" t="s">
        <v>43</v>
      </c>
      <c r="J540" s="15"/>
      <c r="K540" s="29">
        <f>K541</f>
        <v>66853.599999999991</v>
      </c>
      <c r="L540" s="29">
        <f t="shared" si="208"/>
        <v>142.9</v>
      </c>
      <c r="M540" s="29">
        <f>M541</f>
        <v>66996.499999999985</v>
      </c>
      <c r="N540" s="29">
        <f>N541</f>
        <v>68556.999999999985</v>
      </c>
    </row>
    <row r="541" spans="1:14" s="116" customFormat="1" ht="36" x14ac:dyDescent="0.35">
      <c r="A541" s="16"/>
      <c r="B541" s="497" t="s">
        <v>281</v>
      </c>
      <c r="C541" s="28" t="s">
        <v>290</v>
      </c>
      <c r="D541" s="15" t="s">
        <v>102</v>
      </c>
      <c r="E541" s="15" t="s">
        <v>50</v>
      </c>
      <c r="F541" s="676" t="s">
        <v>77</v>
      </c>
      <c r="G541" s="677" t="s">
        <v>44</v>
      </c>
      <c r="H541" s="677" t="s">
        <v>36</v>
      </c>
      <c r="I541" s="678" t="s">
        <v>43</v>
      </c>
      <c r="J541" s="15"/>
      <c r="K541" s="29">
        <f>K542+K545+K550+K553</f>
        <v>66853.599999999991</v>
      </c>
      <c r="L541" s="29">
        <f>L542+L545+L550+L553+L548</f>
        <v>142.9</v>
      </c>
      <c r="M541" s="29">
        <f t="shared" ref="M541:N541" si="209">M542+M545+M550+M553+M548</f>
        <v>66996.499999999985</v>
      </c>
      <c r="N541" s="29">
        <f t="shared" si="209"/>
        <v>68556.999999999985</v>
      </c>
    </row>
    <row r="542" spans="1:14" s="116" customFormat="1" ht="144" x14ac:dyDescent="0.35">
      <c r="A542" s="16"/>
      <c r="B542" s="570" t="s">
        <v>353</v>
      </c>
      <c r="C542" s="28" t="s">
        <v>290</v>
      </c>
      <c r="D542" s="15" t="s">
        <v>102</v>
      </c>
      <c r="E542" s="15" t="s">
        <v>50</v>
      </c>
      <c r="F542" s="676" t="s">
        <v>77</v>
      </c>
      <c r="G542" s="677" t="s">
        <v>44</v>
      </c>
      <c r="H542" s="677" t="s">
        <v>36</v>
      </c>
      <c r="I542" s="678" t="s">
        <v>500</v>
      </c>
      <c r="J542" s="15"/>
      <c r="K542" s="29">
        <f>SUM(K543:K544)</f>
        <v>38813.9</v>
      </c>
      <c r="L542" s="29">
        <f t="shared" ref="L542" si="210">SUM(L543:L544)</f>
        <v>0</v>
      </c>
      <c r="M542" s="29">
        <f>SUM(M543:M544)</f>
        <v>38813.9</v>
      </c>
      <c r="N542" s="29">
        <f>SUM(N543:N544)</f>
        <v>40366.5</v>
      </c>
    </row>
    <row r="543" spans="1:14" s="116" customFormat="1" ht="54" x14ac:dyDescent="0.35">
      <c r="A543" s="16"/>
      <c r="B543" s="497" t="s">
        <v>53</v>
      </c>
      <c r="C543" s="28" t="s">
        <v>290</v>
      </c>
      <c r="D543" s="15" t="s">
        <v>102</v>
      </c>
      <c r="E543" s="15" t="s">
        <v>50</v>
      </c>
      <c r="F543" s="676" t="s">
        <v>77</v>
      </c>
      <c r="G543" s="677" t="s">
        <v>44</v>
      </c>
      <c r="H543" s="677" t="s">
        <v>36</v>
      </c>
      <c r="I543" s="678" t="s">
        <v>500</v>
      </c>
      <c r="J543" s="15" t="s">
        <v>54</v>
      </c>
      <c r="K543" s="29">
        <v>193.1</v>
      </c>
      <c r="L543" s="29">
        <f>M543-K543</f>
        <v>0</v>
      </c>
      <c r="M543" s="29">
        <v>193.1</v>
      </c>
      <c r="N543" s="29">
        <v>200.8</v>
      </c>
    </row>
    <row r="544" spans="1:14" s="116" customFormat="1" ht="36" x14ac:dyDescent="0.35">
      <c r="A544" s="16"/>
      <c r="B544" s="497" t="s">
        <v>118</v>
      </c>
      <c r="C544" s="28" t="s">
        <v>290</v>
      </c>
      <c r="D544" s="15" t="s">
        <v>102</v>
      </c>
      <c r="E544" s="15" t="s">
        <v>50</v>
      </c>
      <c r="F544" s="676" t="s">
        <v>77</v>
      </c>
      <c r="G544" s="677" t="s">
        <v>44</v>
      </c>
      <c r="H544" s="677" t="s">
        <v>36</v>
      </c>
      <c r="I544" s="678" t="s">
        <v>500</v>
      </c>
      <c r="J544" s="15" t="s">
        <v>119</v>
      </c>
      <c r="K544" s="29">
        <v>38620.800000000003</v>
      </c>
      <c r="L544" s="29">
        <f>M544-K544</f>
        <v>0</v>
      </c>
      <c r="M544" s="29">
        <v>38620.800000000003</v>
      </c>
      <c r="N544" s="29">
        <v>40165.699999999997</v>
      </c>
    </row>
    <row r="545" spans="1:14" s="116" customFormat="1" ht="90" x14ac:dyDescent="0.35">
      <c r="A545" s="16"/>
      <c r="B545" s="497" t="s">
        <v>355</v>
      </c>
      <c r="C545" s="28" t="s">
        <v>290</v>
      </c>
      <c r="D545" s="15" t="s">
        <v>102</v>
      </c>
      <c r="E545" s="15" t="s">
        <v>50</v>
      </c>
      <c r="F545" s="676" t="s">
        <v>77</v>
      </c>
      <c r="G545" s="677" t="s">
        <v>44</v>
      </c>
      <c r="H545" s="677" t="s">
        <v>36</v>
      </c>
      <c r="I545" s="678" t="s">
        <v>502</v>
      </c>
      <c r="J545" s="15"/>
      <c r="K545" s="29">
        <f>SUM(K546:K547)</f>
        <v>196.2</v>
      </c>
      <c r="L545" s="29">
        <f t="shared" ref="L545" si="211">SUM(L546:L547)</f>
        <v>0</v>
      </c>
      <c r="M545" s="29">
        <f>SUM(M546:M547)</f>
        <v>196.2</v>
      </c>
      <c r="N545" s="29">
        <f>SUM(N546:N547)</f>
        <v>204.1</v>
      </c>
    </row>
    <row r="546" spans="1:14" s="116" customFormat="1" ht="54" x14ac:dyDescent="0.35">
      <c r="A546" s="16"/>
      <c r="B546" s="497" t="s">
        <v>53</v>
      </c>
      <c r="C546" s="28" t="s">
        <v>290</v>
      </c>
      <c r="D546" s="15" t="s">
        <v>102</v>
      </c>
      <c r="E546" s="15" t="s">
        <v>50</v>
      </c>
      <c r="F546" s="676" t="s">
        <v>77</v>
      </c>
      <c r="G546" s="677" t="s">
        <v>44</v>
      </c>
      <c r="H546" s="677" t="s">
        <v>36</v>
      </c>
      <c r="I546" s="678" t="s">
        <v>502</v>
      </c>
      <c r="J546" s="15" t="s">
        <v>54</v>
      </c>
      <c r="K546" s="29">
        <v>1</v>
      </c>
      <c r="L546" s="29">
        <f>M546-K546</f>
        <v>0</v>
      </c>
      <c r="M546" s="29">
        <v>1</v>
      </c>
      <c r="N546" s="29">
        <v>1</v>
      </c>
    </row>
    <row r="547" spans="1:14" s="116" customFormat="1" ht="36" x14ac:dyDescent="0.35">
      <c r="A547" s="16"/>
      <c r="B547" s="497" t="s">
        <v>118</v>
      </c>
      <c r="C547" s="28" t="s">
        <v>290</v>
      </c>
      <c r="D547" s="15" t="s">
        <v>102</v>
      </c>
      <c r="E547" s="15" t="s">
        <v>50</v>
      </c>
      <c r="F547" s="676" t="s">
        <v>77</v>
      </c>
      <c r="G547" s="677" t="s">
        <v>44</v>
      </c>
      <c r="H547" s="677" t="s">
        <v>36</v>
      </c>
      <c r="I547" s="678" t="s">
        <v>502</v>
      </c>
      <c r="J547" s="15" t="s">
        <v>119</v>
      </c>
      <c r="K547" s="29">
        <v>195.2</v>
      </c>
      <c r="L547" s="29">
        <f>M547-K547</f>
        <v>0</v>
      </c>
      <c r="M547" s="29">
        <v>195.2</v>
      </c>
      <c r="N547" s="29">
        <v>203.1</v>
      </c>
    </row>
    <row r="548" spans="1:14" s="116" customFormat="1" ht="144" x14ac:dyDescent="0.35">
      <c r="A548" s="16"/>
      <c r="B548" s="497" t="s">
        <v>671</v>
      </c>
      <c r="C548" s="28" t="s">
        <v>290</v>
      </c>
      <c r="D548" s="15" t="s">
        <v>102</v>
      </c>
      <c r="E548" s="15" t="s">
        <v>50</v>
      </c>
      <c r="F548" s="676" t="s">
        <v>77</v>
      </c>
      <c r="G548" s="677" t="s">
        <v>44</v>
      </c>
      <c r="H548" s="677" t="s">
        <v>36</v>
      </c>
      <c r="I548" s="678" t="s">
        <v>670</v>
      </c>
      <c r="J548" s="15"/>
      <c r="K548" s="29"/>
      <c r="L548" s="29">
        <f>L549</f>
        <v>142.9</v>
      </c>
      <c r="M548" s="29">
        <f>M549</f>
        <v>142.9</v>
      </c>
      <c r="N548" s="29">
        <f>N549</f>
        <v>142.9</v>
      </c>
    </row>
    <row r="549" spans="1:14" s="116" customFormat="1" ht="36" x14ac:dyDescent="0.35">
      <c r="A549" s="16"/>
      <c r="B549" s="497" t="s">
        <v>118</v>
      </c>
      <c r="C549" s="28" t="s">
        <v>290</v>
      </c>
      <c r="D549" s="15" t="s">
        <v>102</v>
      </c>
      <c r="E549" s="15" t="s">
        <v>50</v>
      </c>
      <c r="F549" s="676" t="s">
        <v>77</v>
      </c>
      <c r="G549" s="677" t="s">
        <v>44</v>
      </c>
      <c r="H549" s="677" t="s">
        <v>36</v>
      </c>
      <c r="I549" s="678" t="s">
        <v>670</v>
      </c>
      <c r="J549" s="15" t="s">
        <v>119</v>
      </c>
      <c r="K549" s="29"/>
      <c r="L549" s="29">
        <f>M549-K549</f>
        <v>142.9</v>
      </c>
      <c r="M549" s="29">
        <v>142.9</v>
      </c>
      <c r="N549" s="29">
        <v>142.9</v>
      </c>
    </row>
    <row r="550" spans="1:14" s="116" customFormat="1" ht="90" x14ac:dyDescent="0.35">
      <c r="A550" s="16"/>
      <c r="B550" s="497" t="s">
        <v>354</v>
      </c>
      <c r="C550" s="28" t="s">
        <v>290</v>
      </c>
      <c r="D550" s="15" t="s">
        <v>102</v>
      </c>
      <c r="E550" s="15" t="s">
        <v>50</v>
      </c>
      <c r="F550" s="676" t="s">
        <v>77</v>
      </c>
      <c r="G550" s="677" t="s">
        <v>44</v>
      </c>
      <c r="H550" s="677" t="s">
        <v>36</v>
      </c>
      <c r="I550" s="678" t="s">
        <v>501</v>
      </c>
      <c r="J550" s="15"/>
      <c r="K550" s="29">
        <f>SUM(K551:K552)</f>
        <v>27653.599999999999</v>
      </c>
      <c r="L550" s="29">
        <f t="shared" ref="L550" si="212">SUM(L551:L552)</f>
        <v>0</v>
      </c>
      <c r="M550" s="29">
        <f>SUM(M551:M552)</f>
        <v>27653.599999999999</v>
      </c>
      <c r="N550" s="29">
        <f>SUM(N551:N552)</f>
        <v>27653.599999999999</v>
      </c>
    </row>
    <row r="551" spans="1:14" s="116" customFormat="1" ht="54" x14ac:dyDescent="0.35">
      <c r="A551" s="16"/>
      <c r="B551" s="497" t="s">
        <v>53</v>
      </c>
      <c r="C551" s="28" t="s">
        <v>290</v>
      </c>
      <c r="D551" s="15" t="s">
        <v>102</v>
      </c>
      <c r="E551" s="15" t="s">
        <v>50</v>
      </c>
      <c r="F551" s="676" t="s">
        <v>77</v>
      </c>
      <c r="G551" s="677" t="s">
        <v>44</v>
      </c>
      <c r="H551" s="677" t="s">
        <v>36</v>
      </c>
      <c r="I551" s="678" t="s">
        <v>501</v>
      </c>
      <c r="J551" s="15" t="s">
        <v>54</v>
      </c>
      <c r="K551" s="29">
        <v>138.30000000000001</v>
      </c>
      <c r="L551" s="29">
        <f>M551-K551</f>
        <v>0</v>
      </c>
      <c r="M551" s="29">
        <v>138.30000000000001</v>
      </c>
      <c r="N551" s="29">
        <v>138.30000000000001</v>
      </c>
    </row>
    <row r="552" spans="1:14" s="116" customFormat="1" ht="36" x14ac:dyDescent="0.35">
      <c r="A552" s="16"/>
      <c r="B552" s="497" t="s">
        <v>118</v>
      </c>
      <c r="C552" s="28" t="s">
        <v>290</v>
      </c>
      <c r="D552" s="15" t="s">
        <v>102</v>
      </c>
      <c r="E552" s="15" t="s">
        <v>50</v>
      </c>
      <c r="F552" s="676" t="s">
        <v>77</v>
      </c>
      <c r="G552" s="677" t="s">
        <v>44</v>
      </c>
      <c r="H552" s="677" t="s">
        <v>36</v>
      </c>
      <c r="I552" s="678" t="s">
        <v>501</v>
      </c>
      <c r="J552" s="15" t="s">
        <v>119</v>
      </c>
      <c r="K552" s="29">
        <v>27515.3</v>
      </c>
      <c r="L552" s="29">
        <f>M552-K552</f>
        <v>0</v>
      </c>
      <c r="M552" s="29">
        <v>27515.3</v>
      </c>
      <c r="N552" s="29">
        <v>27515.3</v>
      </c>
    </row>
    <row r="553" spans="1:14" s="116" customFormat="1" ht="108" x14ac:dyDescent="0.35">
      <c r="A553" s="16"/>
      <c r="B553" s="497" t="s">
        <v>361</v>
      </c>
      <c r="C553" s="28" t="s">
        <v>290</v>
      </c>
      <c r="D553" s="15" t="s">
        <v>102</v>
      </c>
      <c r="E553" s="15" t="s">
        <v>50</v>
      </c>
      <c r="F553" s="676" t="s">
        <v>77</v>
      </c>
      <c r="G553" s="677" t="s">
        <v>44</v>
      </c>
      <c r="H553" s="677" t="s">
        <v>36</v>
      </c>
      <c r="I553" s="678" t="s">
        <v>503</v>
      </c>
      <c r="J553" s="15"/>
      <c r="K553" s="29">
        <f>SUM(K554:K555)</f>
        <v>189.9</v>
      </c>
      <c r="L553" s="29">
        <f t="shared" ref="L553" si="213">SUM(L554:L555)</f>
        <v>0</v>
      </c>
      <c r="M553" s="29">
        <f>SUM(M554:M555)</f>
        <v>189.9</v>
      </c>
      <c r="N553" s="29">
        <f>SUM(N554:N555)</f>
        <v>189.9</v>
      </c>
    </row>
    <row r="554" spans="1:14" s="116" customFormat="1" ht="54" x14ac:dyDescent="0.35">
      <c r="A554" s="16"/>
      <c r="B554" s="497" t="s">
        <v>53</v>
      </c>
      <c r="C554" s="28" t="s">
        <v>290</v>
      </c>
      <c r="D554" s="15" t="s">
        <v>102</v>
      </c>
      <c r="E554" s="15" t="s">
        <v>50</v>
      </c>
      <c r="F554" s="676" t="s">
        <v>77</v>
      </c>
      <c r="G554" s="677" t="s">
        <v>44</v>
      </c>
      <c r="H554" s="677" t="s">
        <v>36</v>
      </c>
      <c r="I554" s="678" t="s">
        <v>503</v>
      </c>
      <c r="J554" s="15" t="s">
        <v>54</v>
      </c>
      <c r="K554" s="29">
        <v>0.9</v>
      </c>
      <c r="L554" s="29">
        <f>M554-K554</f>
        <v>0</v>
      </c>
      <c r="M554" s="29">
        <v>0.9</v>
      </c>
      <c r="N554" s="29">
        <v>0.9</v>
      </c>
    </row>
    <row r="555" spans="1:14" s="116" customFormat="1" ht="36" x14ac:dyDescent="0.35">
      <c r="A555" s="16"/>
      <c r="B555" s="497" t="s">
        <v>118</v>
      </c>
      <c r="C555" s="28" t="s">
        <v>290</v>
      </c>
      <c r="D555" s="15" t="s">
        <v>102</v>
      </c>
      <c r="E555" s="15" t="s">
        <v>50</v>
      </c>
      <c r="F555" s="676" t="s">
        <v>77</v>
      </c>
      <c r="G555" s="677" t="s">
        <v>44</v>
      </c>
      <c r="H555" s="677" t="s">
        <v>36</v>
      </c>
      <c r="I555" s="678" t="s">
        <v>503</v>
      </c>
      <c r="J555" s="15" t="s">
        <v>119</v>
      </c>
      <c r="K555" s="29">
        <v>189</v>
      </c>
      <c r="L555" s="29">
        <f>M555-K555</f>
        <v>0</v>
      </c>
      <c r="M555" s="29">
        <v>189</v>
      </c>
      <c r="N555" s="29">
        <v>189</v>
      </c>
    </row>
    <row r="556" spans="1:14" s="12" customFormat="1" ht="36" x14ac:dyDescent="0.35">
      <c r="A556" s="16"/>
      <c r="B556" s="497" t="s">
        <v>292</v>
      </c>
      <c r="C556" s="28" t="s">
        <v>290</v>
      </c>
      <c r="D556" s="15" t="s">
        <v>102</v>
      </c>
      <c r="E556" s="15" t="s">
        <v>79</v>
      </c>
      <c r="F556" s="676"/>
      <c r="G556" s="677"/>
      <c r="H556" s="677"/>
      <c r="I556" s="678"/>
      <c r="J556" s="15"/>
      <c r="K556" s="29">
        <f t="shared" ref="K556:N558" si="214">K557</f>
        <v>9251.5</v>
      </c>
      <c r="L556" s="29">
        <f t="shared" si="214"/>
        <v>0</v>
      </c>
      <c r="M556" s="29">
        <f t="shared" si="214"/>
        <v>9251.5</v>
      </c>
      <c r="N556" s="29">
        <f t="shared" si="214"/>
        <v>9777.2000000000007</v>
      </c>
    </row>
    <row r="557" spans="1:14" s="12" customFormat="1" ht="54" x14ac:dyDescent="0.35">
      <c r="A557" s="16"/>
      <c r="B557" s="504" t="s">
        <v>226</v>
      </c>
      <c r="C557" s="28" t="s">
        <v>290</v>
      </c>
      <c r="D557" s="15" t="s">
        <v>102</v>
      </c>
      <c r="E557" s="15" t="s">
        <v>79</v>
      </c>
      <c r="F557" s="676" t="s">
        <v>77</v>
      </c>
      <c r="G557" s="677" t="s">
        <v>41</v>
      </c>
      <c r="H557" s="677" t="s">
        <v>42</v>
      </c>
      <c r="I557" s="678" t="s">
        <v>43</v>
      </c>
      <c r="J557" s="15"/>
      <c r="K557" s="29">
        <f t="shared" si="214"/>
        <v>9251.5</v>
      </c>
      <c r="L557" s="29">
        <f t="shared" si="214"/>
        <v>0</v>
      </c>
      <c r="M557" s="29">
        <f t="shared" si="214"/>
        <v>9251.5</v>
      </c>
      <c r="N557" s="29">
        <f t="shared" si="214"/>
        <v>9777.2000000000007</v>
      </c>
    </row>
    <row r="558" spans="1:14" s="12" customFormat="1" ht="36" x14ac:dyDescent="0.35">
      <c r="A558" s="16"/>
      <c r="B558" s="497" t="s">
        <v>335</v>
      </c>
      <c r="C558" s="28" t="s">
        <v>290</v>
      </c>
      <c r="D558" s="15" t="s">
        <v>102</v>
      </c>
      <c r="E558" s="15" t="s">
        <v>79</v>
      </c>
      <c r="F558" s="676" t="s">
        <v>77</v>
      </c>
      <c r="G558" s="677" t="s">
        <v>44</v>
      </c>
      <c r="H558" s="677" t="s">
        <v>42</v>
      </c>
      <c r="I558" s="678" t="s">
        <v>43</v>
      </c>
      <c r="J558" s="15"/>
      <c r="K558" s="29">
        <f t="shared" si="214"/>
        <v>9251.5</v>
      </c>
      <c r="L558" s="29">
        <f t="shared" si="214"/>
        <v>0</v>
      </c>
      <c r="M558" s="29">
        <f t="shared" si="214"/>
        <v>9251.5</v>
      </c>
      <c r="N558" s="29">
        <f t="shared" si="214"/>
        <v>9777.2000000000007</v>
      </c>
    </row>
    <row r="559" spans="1:14" s="116" customFormat="1" ht="36" x14ac:dyDescent="0.35">
      <c r="A559" s="16"/>
      <c r="B559" s="497" t="s">
        <v>225</v>
      </c>
      <c r="C559" s="28" t="s">
        <v>290</v>
      </c>
      <c r="D559" s="15" t="s">
        <v>102</v>
      </c>
      <c r="E559" s="15" t="s">
        <v>79</v>
      </c>
      <c r="F559" s="676" t="s">
        <v>77</v>
      </c>
      <c r="G559" s="677" t="s">
        <v>44</v>
      </c>
      <c r="H559" s="677" t="s">
        <v>61</v>
      </c>
      <c r="I559" s="678" t="s">
        <v>43</v>
      </c>
      <c r="J559" s="15"/>
      <c r="K559" s="29">
        <f>K560+K563+K566</f>
        <v>9251.5</v>
      </c>
      <c r="L559" s="29">
        <f t="shared" ref="L559" si="215">L560+L563+L566</f>
        <v>0</v>
      </c>
      <c r="M559" s="29">
        <f>M560+M563+M566</f>
        <v>9251.5</v>
      </c>
      <c r="N559" s="29">
        <f>N560+N563+N566</f>
        <v>9777.2000000000007</v>
      </c>
    </row>
    <row r="560" spans="1:14" s="116" customFormat="1" ht="252" x14ac:dyDescent="0.35">
      <c r="A560" s="16"/>
      <c r="B560" s="564" t="s">
        <v>228</v>
      </c>
      <c r="C560" s="28" t="s">
        <v>290</v>
      </c>
      <c r="D560" s="15" t="s">
        <v>102</v>
      </c>
      <c r="E560" s="15" t="s">
        <v>79</v>
      </c>
      <c r="F560" s="676" t="s">
        <v>77</v>
      </c>
      <c r="G560" s="677" t="s">
        <v>44</v>
      </c>
      <c r="H560" s="677" t="s">
        <v>61</v>
      </c>
      <c r="I560" s="678" t="s">
        <v>504</v>
      </c>
      <c r="J560" s="15"/>
      <c r="K560" s="29">
        <f>K561+K562</f>
        <v>1051.4000000000001</v>
      </c>
      <c r="L560" s="29">
        <f t="shared" ref="L560" si="216">L561+L562</f>
        <v>0</v>
      </c>
      <c r="M560" s="29">
        <f>M561+M562</f>
        <v>1051.4000000000001</v>
      </c>
      <c r="N560" s="29">
        <f>N561+N562</f>
        <v>1577.1</v>
      </c>
    </row>
    <row r="561" spans="1:14" s="116" customFormat="1" ht="108" x14ac:dyDescent="0.35">
      <c r="A561" s="16"/>
      <c r="B561" s="497" t="s">
        <v>48</v>
      </c>
      <c r="C561" s="28" t="s">
        <v>290</v>
      </c>
      <c r="D561" s="15" t="s">
        <v>102</v>
      </c>
      <c r="E561" s="15" t="s">
        <v>79</v>
      </c>
      <c r="F561" s="676" t="s">
        <v>77</v>
      </c>
      <c r="G561" s="677" t="s">
        <v>44</v>
      </c>
      <c r="H561" s="677" t="s">
        <v>61</v>
      </c>
      <c r="I561" s="678" t="s">
        <v>504</v>
      </c>
      <c r="J561" s="15" t="s">
        <v>49</v>
      </c>
      <c r="K561" s="29">
        <v>889.4</v>
      </c>
      <c r="L561" s="29">
        <f>M561-K561</f>
        <v>0</v>
      </c>
      <c r="M561" s="29">
        <v>889.4</v>
      </c>
      <c r="N561" s="29">
        <v>1415.1</v>
      </c>
    </row>
    <row r="562" spans="1:14" s="116" customFormat="1" ht="54" x14ac:dyDescent="0.35">
      <c r="A562" s="16"/>
      <c r="B562" s="497" t="s">
        <v>53</v>
      </c>
      <c r="C562" s="28" t="s">
        <v>290</v>
      </c>
      <c r="D562" s="15" t="s">
        <v>102</v>
      </c>
      <c r="E562" s="15" t="s">
        <v>79</v>
      </c>
      <c r="F562" s="676" t="s">
        <v>77</v>
      </c>
      <c r="G562" s="677" t="s">
        <v>44</v>
      </c>
      <c r="H562" s="677" t="s">
        <v>61</v>
      </c>
      <c r="I562" s="678" t="s">
        <v>504</v>
      </c>
      <c r="J562" s="15" t="s">
        <v>54</v>
      </c>
      <c r="K562" s="29">
        <v>162</v>
      </c>
      <c r="L562" s="29">
        <f>M562-K562</f>
        <v>0</v>
      </c>
      <c r="M562" s="29">
        <v>162</v>
      </c>
      <c r="N562" s="29">
        <v>162</v>
      </c>
    </row>
    <row r="563" spans="1:14" s="116" customFormat="1" ht="108" x14ac:dyDescent="0.35">
      <c r="A563" s="16"/>
      <c r="B563" s="497" t="s">
        <v>449</v>
      </c>
      <c r="C563" s="28" t="s">
        <v>290</v>
      </c>
      <c r="D563" s="15" t="s">
        <v>102</v>
      </c>
      <c r="E563" s="15" t="s">
        <v>79</v>
      </c>
      <c r="F563" s="676" t="s">
        <v>77</v>
      </c>
      <c r="G563" s="677" t="s">
        <v>44</v>
      </c>
      <c r="H563" s="677" t="s">
        <v>61</v>
      </c>
      <c r="I563" s="678" t="s">
        <v>498</v>
      </c>
      <c r="J563" s="15"/>
      <c r="K563" s="29">
        <f>K564+K565</f>
        <v>776</v>
      </c>
      <c r="L563" s="29">
        <f t="shared" ref="L563" si="217">L564+L565</f>
        <v>0</v>
      </c>
      <c r="M563" s="29">
        <f>M564+M565</f>
        <v>776</v>
      </c>
      <c r="N563" s="29">
        <f>N564+N565</f>
        <v>776</v>
      </c>
    </row>
    <row r="564" spans="1:14" s="116" customFormat="1" ht="108" x14ac:dyDescent="0.35">
      <c r="A564" s="16"/>
      <c r="B564" s="497" t="s">
        <v>48</v>
      </c>
      <c r="C564" s="28" t="s">
        <v>290</v>
      </c>
      <c r="D564" s="15" t="s">
        <v>102</v>
      </c>
      <c r="E564" s="15" t="s">
        <v>79</v>
      </c>
      <c r="F564" s="676" t="s">
        <v>77</v>
      </c>
      <c r="G564" s="677" t="s">
        <v>44</v>
      </c>
      <c r="H564" s="677" t="s">
        <v>61</v>
      </c>
      <c r="I564" s="678" t="s">
        <v>498</v>
      </c>
      <c r="J564" s="15" t="s">
        <v>49</v>
      </c>
      <c r="K564" s="29">
        <v>695</v>
      </c>
      <c r="L564" s="29">
        <f>M564-K564</f>
        <v>0</v>
      </c>
      <c r="M564" s="29">
        <v>695</v>
      </c>
      <c r="N564" s="29">
        <v>695</v>
      </c>
    </row>
    <row r="565" spans="1:14" s="116" customFormat="1" ht="54" x14ac:dyDescent="0.35">
      <c r="A565" s="16"/>
      <c r="B565" s="497" t="s">
        <v>53</v>
      </c>
      <c r="C565" s="28" t="s">
        <v>290</v>
      </c>
      <c r="D565" s="15" t="s">
        <v>102</v>
      </c>
      <c r="E565" s="15" t="s">
        <v>79</v>
      </c>
      <c r="F565" s="676" t="s">
        <v>77</v>
      </c>
      <c r="G565" s="677" t="s">
        <v>44</v>
      </c>
      <c r="H565" s="677" t="s">
        <v>61</v>
      </c>
      <c r="I565" s="678" t="s">
        <v>498</v>
      </c>
      <c r="J565" s="15" t="s">
        <v>54</v>
      </c>
      <c r="K565" s="29">
        <v>81</v>
      </c>
      <c r="L565" s="29">
        <f>M565-K565</f>
        <v>0</v>
      </c>
      <c r="M565" s="29">
        <v>81</v>
      </c>
      <c r="N565" s="29">
        <v>81</v>
      </c>
    </row>
    <row r="566" spans="1:14" s="116" customFormat="1" ht="72" x14ac:dyDescent="0.35">
      <c r="A566" s="16"/>
      <c r="B566" s="497" t="s">
        <v>227</v>
      </c>
      <c r="C566" s="28" t="s">
        <v>290</v>
      </c>
      <c r="D566" s="15" t="s">
        <v>102</v>
      </c>
      <c r="E566" s="15" t="s">
        <v>79</v>
      </c>
      <c r="F566" s="676" t="s">
        <v>77</v>
      </c>
      <c r="G566" s="677" t="s">
        <v>44</v>
      </c>
      <c r="H566" s="677" t="s">
        <v>61</v>
      </c>
      <c r="I566" s="678" t="s">
        <v>499</v>
      </c>
      <c r="J566" s="15"/>
      <c r="K566" s="29">
        <f>K567+K568</f>
        <v>7424.1</v>
      </c>
      <c r="L566" s="29">
        <f t="shared" ref="L566" si="218">L567+L568</f>
        <v>0</v>
      </c>
      <c r="M566" s="29">
        <f>M567+M568</f>
        <v>7424.1</v>
      </c>
      <c r="N566" s="29">
        <f>N567+N568</f>
        <v>7424.1</v>
      </c>
    </row>
    <row r="567" spans="1:14" s="116" customFormat="1" ht="108" x14ac:dyDescent="0.35">
      <c r="A567" s="16"/>
      <c r="B567" s="497" t="s">
        <v>48</v>
      </c>
      <c r="C567" s="28" t="s">
        <v>290</v>
      </c>
      <c r="D567" s="15" t="s">
        <v>102</v>
      </c>
      <c r="E567" s="15" t="s">
        <v>79</v>
      </c>
      <c r="F567" s="676" t="s">
        <v>77</v>
      </c>
      <c r="G567" s="677" t="s">
        <v>44</v>
      </c>
      <c r="H567" s="677" t="s">
        <v>61</v>
      </c>
      <c r="I567" s="678" t="s">
        <v>499</v>
      </c>
      <c r="J567" s="15" t="s">
        <v>49</v>
      </c>
      <c r="K567" s="29">
        <v>6695.1</v>
      </c>
      <c r="L567" s="29">
        <f>M567-K567</f>
        <v>0</v>
      </c>
      <c r="M567" s="29">
        <v>6695.1</v>
      </c>
      <c r="N567" s="29">
        <v>6695.1</v>
      </c>
    </row>
    <row r="568" spans="1:14" s="116" customFormat="1" ht="54" x14ac:dyDescent="0.35">
      <c r="A568" s="16"/>
      <c r="B568" s="497" t="s">
        <v>53</v>
      </c>
      <c r="C568" s="28" t="s">
        <v>290</v>
      </c>
      <c r="D568" s="15" t="s">
        <v>102</v>
      </c>
      <c r="E568" s="15" t="s">
        <v>79</v>
      </c>
      <c r="F568" s="429" t="s">
        <v>77</v>
      </c>
      <c r="G568" s="430" t="s">
        <v>44</v>
      </c>
      <c r="H568" s="430" t="s">
        <v>61</v>
      </c>
      <c r="I568" s="431" t="s">
        <v>499</v>
      </c>
      <c r="J568" s="15" t="s">
        <v>54</v>
      </c>
      <c r="K568" s="29">
        <v>729</v>
      </c>
      <c r="L568" s="29">
        <f>M568-K568</f>
        <v>0</v>
      </c>
      <c r="M568" s="29">
        <v>729</v>
      </c>
      <c r="N568" s="29">
        <v>729</v>
      </c>
    </row>
    <row r="569" spans="1:14" s="116" customFormat="1" ht="18" x14ac:dyDescent="0.35">
      <c r="A569" s="115">
        <v>10</v>
      </c>
      <c r="B569" s="575" t="s">
        <v>358</v>
      </c>
      <c r="C569" s="28"/>
      <c r="D569" s="15"/>
      <c r="E569" s="15"/>
      <c r="F569" s="677"/>
      <c r="G569" s="677"/>
      <c r="H569" s="677"/>
      <c r="I569" s="678"/>
      <c r="J569" s="15"/>
      <c r="K569" s="37">
        <f>K570</f>
        <v>44098.7</v>
      </c>
      <c r="L569" s="37">
        <f t="shared" ref="L569" si="219">L570</f>
        <v>0</v>
      </c>
      <c r="M569" s="37">
        <f>M570</f>
        <v>44098.7</v>
      </c>
      <c r="N569" s="37">
        <f>N570</f>
        <v>93440.1</v>
      </c>
    </row>
    <row r="570" spans="1:14" s="116" customFormat="1" ht="18" x14ac:dyDescent="0.35">
      <c r="A570" s="16"/>
      <c r="B570" s="576" t="s">
        <v>358</v>
      </c>
      <c r="C570" s="28"/>
      <c r="D570" s="15"/>
      <c r="E570" s="15"/>
      <c r="F570" s="677"/>
      <c r="G570" s="677"/>
      <c r="H570" s="677"/>
      <c r="I570" s="678"/>
      <c r="J570" s="15"/>
      <c r="K570" s="29">
        <f>46671.2+843.1-176.7-3013.5-7.3-14.6-44.8-11.2-22.4-125.1</f>
        <v>44098.7</v>
      </c>
      <c r="L570" s="29">
        <f>M570-K570</f>
        <v>0</v>
      </c>
      <c r="M570" s="29">
        <f>46671.2+843.1-176.7-3013.5-7.3-14.6-44.8-11.2-22.4-125.1</f>
        <v>44098.7</v>
      </c>
      <c r="N570" s="29">
        <f>95890.3+1059-176.7-3013.5-7.3-14.6-44.8-11.2-22.4-218.7</f>
        <v>93440.1</v>
      </c>
    </row>
    <row r="571" spans="1:14" ht="12" customHeight="1" x14ac:dyDescent="0.3"/>
    <row r="572" spans="1:14" ht="7.95" customHeight="1" x14ac:dyDescent="0.3"/>
    <row r="573" spans="1:14" s="80" customFormat="1" ht="18" x14ac:dyDescent="0.35">
      <c r="A573" s="439" t="s">
        <v>371</v>
      </c>
      <c r="B573" s="81"/>
      <c r="C573" s="82"/>
      <c r="D573" s="82"/>
      <c r="E573" s="82"/>
      <c r="F573" s="47"/>
      <c r="G573" s="110"/>
      <c r="H573" s="149"/>
    </row>
    <row r="574" spans="1:14" s="80" customFormat="1" ht="18" x14ac:dyDescent="0.35">
      <c r="A574" s="439" t="s">
        <v>372</v>
      </c>
      <c r="B574" s="81"/>
      <c r="C574" s="82"/>
      <c r="D574" s="82"/>
      <c r="E574" s="82"/>
      <c r="F574" s="47"/>
      <c r="G574" s="110"/>
      <c r="H574" s="149"/>
    </row>
    <row r="575" spans="1:14" s="80" customFormat="1" ht="18" x14ac:dyDescent="0.35">
      <c r="A575" s="614" t="s">
        <v>373</v>
      </c>
      <c r="B575" s="81"/>
      <c r="D575" s="82"/>
      <c r="E575" s="82"/>
      <c r="F575" s="47"/>
      <c r="N575" s="111" t="s">
        <v>383</v>
      </c>
    </row>
    <row r="576" spans="1:14" s="150" customFormat="1" ht="15.6" x14ac:dyDescent="0.3">
      <c r="M576" s="151"/>
      <c r="N576" s="151"/>
    </row>
    <row r="577" spans="2:14" ht="15.6" hidden="1" x14ac:dyDescent="0.3">
      <c r="B577" s="150" t="s">
        <v>359</v>
      </c>
      <c r="M577" s="607">
        <f>(M16-('прил. 1 (поступл.24-26)'!D38+'прил. 1 (поступл.24-26)'!D39))*2.5%</f>
        <v>23335.5975</v>
      </c>
      <c r="N577" s="607">
        <f>(N16-('прил. 1 (поступл.24-26)'!E38+'прил. 1 (поступл.24-26)'!E39))*5%</f>
        <v>47945.150000000016</v>
      </c>
    </row>
    <row r="578" spans="2:14" ht="18" hidden="1" x14ac:dyDescent="0.35">
      <c r="D578" s="33" t="s">
        <v>36</v>
      </c>
      <c r="E578" s="33" t="s">
        <v>38</v>
      </c>
      <c r="F578" s="34"/>
      <c r="G578" s="34"/>
      <c r="H578" s="34"/>
      <c r="I578" s="34"/>
      <c r="J578" s="34"/>
      <c r="K578" s="34"/>
      <c r="L578" s="34"/>
      <c r="M578" s="152">
        <f>M19</f>
        <v>2716.7</v>
      </c>
      <c r="N578" s="152">
        <f>N19</f>
        <v>2716.7</v>
      </c>
    </row>
    <row r="579" spans="2:14" ht="18" hidden="1" x14ac:dyDescent="0.35">
      <c r="D579" s="33" t="s">
        <v>36</v>
      </c>
      <c r="E579" s="33" t="s">
        <v>50</v>
      </c>
      <c r="F579" s="34"/>
      <c r="G579" s="34"/>
      <c r="H579" s="34"/>
      <c r="I579" s="34"/>
      <c r="J579" s="34"/>
      <c r="K579" s="34"/>
      <c r="L579" s="34"/>
      <c r="M579" s="152">
        <f>M25</f>
        <v>87889.5</v>
      </c>
      <c r="N579" s="152">
        <f>N25</f>
        <v>87889.5</v>
      </c>
    </row>
    <row r="580" spans="2:14" ht="18" hidden="1" x14ac:dyDescent="0.35">
      <c r="D580" s="33" t="s">
        <v>36</v>
      </c>
      <c r="E580" s="33" t="s">
        <v>63</v>
      </c>
      <c r="F580" s="34"/>
      <c r="G580" s="34"/>
      <c r="H580" s="34"/>
      <c r="I580" s="34"/>
      <c r="J580" s="34"/>
      <c r="K580" s="34"/>
      <c r="L580" s="34"/>
      <c r="M580" s="152">
        <f>M43</f>
        <v>8.9</v>
      </c>
      <c r="N580" s="152">
        <f>N43</f>
        <v>85.9</v>
      </c>
    </row>
    <row r="581" spans="2:14" ht="18" hidden="1" x14ac:dyDescent="0.35">
      <c r="D581" s="33" t="s">
        <v>36</v>
      </c>
      <c r="E581" s="33" t="s">
        <v>79</v>
      </c>
      <c r="F581" s="34"/>
      <c r="G581" s="34"/>
      <c r="H581" s="34"/>
      <c r="I581" s="34"/>
      <c r="J581" s="34"/>
      <c r="K581" s="34"/>
      <c r="L581" s="34"/>
      <c r="M581" s="152">
        <f>M166+M200</f>
        <v>40609.699999999997</v>
      </c>
      <c r="N581" s="152">
        <f>N166+N200</f>
        <v>40610.600000000006</v>
      </c>
    </row>
    <row r="582" spans="2:14" ht="18" hidden="1" x14ac:dyDescent="0.35">
      <c r="D582" s="33" t="s">
        <v>36</v>
      </c>
      <c r="E582" s="33" t="s">
        <v>65</v>
      </c>
      <c r="F582" s="34"/>
      <c r="G582" s="34"/>
      <c r="H582" s="34"/>
      <c r="I582" s="34"/>
      <c r="J582" s="34"/>
      <c r="K582" s="34"/>
      <c r="L582" s="34"/>
      <c r="M582" s="152">
        <f>M49</f>
        <v>25000</v>
      </c>
      <c r="N582" s="152">
        <f>N49</f>
        <v>15000</v>
      </c>
    </row>
    <row r="583" spans="2:14" ht="18" hidden="1" x14ac:dyDescent="0.35">
      <c r="D583" s="33" t="s">
        <v>36</v>
      </c>
      <c r="E583" s="33" t="s">
        <v>69</v>
      </c>
      <c r="F583" s="34"/>
      <c r="G583" s="34"/>
      <c r="H583" s="34"/>
      <c r="I583" s="34"/>
      <c r="J583" s="34"/>
      <c r="K583" s="34"/>
      <c r="L583" s="34"/>
      <c r="M583" s="152">
        <f>M210+M174+M506+M54+M398+M454+M269</f>
        <v>98840.025299999994</v>
      </c>
      <c r="N583" s="152">
        <f>N210+N174+N506+N54+N398+N454+N269</f>
        <v>99685.705900000001</v>
      </c>
    </row>
    <row r="584" spans="2:14" ht="18" hidden="1" x14ac:dyDescent="0.35">
      <c r="D584" s="153" t="s">
        <v>36</v>
      </c>
      <c r="E584" s="153" t="s">
        <v>42</v>
      </c>
      <c r="F584" s="34"/>
      <c r="G584" s="34"/>
      <c r="H584" s="34"/>
      <c r="I584" s="34"/>
      <c r="J584" s="34"/>
      <c r="K584" s="34"/>
      <c r="L584" s="34"/>
      <c r="M584" s="154">
        <f>SUBTOTAL(9,M578:M583)</f>
        <v>255064.82529999997</v>
      </c>
      <c r="N584" s="154">
        <f>SUBTOTAL(9,N578:N583)</f>
        <v>245988.40590000001</v>
      </c>
    </row>
    <row r="585" spans="2:14" ht="18" hidden="1" x14ac:dyDescent="0.35">
      <c r="D585" s="33"/>
      <c r="E585" s="33"/>
      <c r="F585" s="34"/>
      <c r="G585" s="34"/>
      <c r="H585" s="34"/>
      <c r="I585" s="34"/>
      <c r="J585" s="34"/>
      <c r="K585" s="34"/>
      <c r="L585" s="34"/>
      <c r="M585" s="152"/>
      <c r="N585" s="152"/>
    </row>
    <row r="586" spans="2:14" ht="18" hidden="1" x14ac:dyDescent="0.35">
      <c r="D586" s="33" t="s">
        <v>61</v>
      </c>
      <c r="E586" s="33" t="s">
        <v>102</v>
      </c>
      <c r="F586" s="34"/>
      <c r="G586" s="34"/>
      <c r="H586" s="34"/>
      <c r="I586" s="34"/>
      <c r="J586" s="34"/>
      <c r="K586" s="34"/>
      <c r="L586" s="34"/>
      <c r="M586" s="152">
        <f>M85</f>
        <v>362.29999999999995</v>
      </c>
      <c r="N586" s="152">
        <f>N85</f>
        <v>362.29999999999995</v>
      </c>
    </row>
    <row r="587" spans="2:14" ht="18" hidden="1" x14ac:dyDescent="0.35">
      <c r="D587" s="33" t="s">
        <v>61</v>
      </c>
      <c r="E587" s="33" t="s">
        <v>86</v>
      </c>
      <c r="F587" s="34"/>
      <c r="G587" s="34"/>
      <c r="H587" s="34"/>
      <c r="I587" s="34"/>
      <c r="J587" s="34"/>
      <c r="K587" s="34"/>
      <c r="L587" s="34"/>
      <c r="M587" s="152">
        <f>M93</f>
        <v>14427.800000000001</v>
      </c>
      <c r="N587" s="152">
        <f>N93</f>
        <v>14428.300000000001</v>
      </c>
    </row>
    <row r="588" spans="2:14" ht="18" hidden="1" x14ac:dyDescent="0.35">
      <c r="D588" s="153" t="s">
        <v>61</v>
      </c>
      <c r="E588" s="153" t="s">
        <v>42</v>
      </c>
      <c r="F588" s="34"/>
      <c r="G588" s="34"/>
      <c r="H588" s="34"/>
      <c r="I588" s="34"/>
      <c r="J588" s="34"/>
      <c r="K588" s="34"/>
      <c r="L588" s="34"/>
      <c r="M588" s="154">
        <f>SUBTOTAL(9,M586:M587)</f>
        <v>14790.1</v>
      </c>
      <c r="N588" s="154">
        <f>SUBTOTAL(9,N586:N587)</f>
        <v>14790.6</v>
      </c>
    </row>
    <row r="589" spans="2:14" ht="18" hidden="1" x14ac:dyDescent="0.35">
      <c r="D589" s="33"/>
      <c r="E589" s="33"/>
      <c r="F589" s="34"/>
      <c r="G589" s="34"/>
      <c r="H589" s="34"/>
      <c r="I589" s="34"/>
      <c r="J589" s="34"/>
      <c r="K589" s="34"/>
      <c r="L589" s="34"/>
      <c r="M589" s="152"/>
      <c r="N589" s="152"/>
    </row>
    <row r="590" spans="2:14" ht="18" hidden="1" x14ac:dyDescent="0.35">
      <c r="D590" s="33" t="s">
        <v>50</v>
      </c>
      <c r="E590" s="33" t="s">
        <v>63</v>
      </c>
      <c r="F590" s="34"/>
      <c r="G590" s="34"/>
      <c r="H590" s="34"/>
      <c r="I590" s="34"/>
      <c r="J590" s="34"/>
      <c r="K590" s="34"/>
      <c r="L590" s="34"/>
      <c r="M590" s="152">
        <f>M113</f>
        <v>24038.799999999999</v>
      </c>
      <c r="N590" s="152">
        <f>N113</f>
        <v>24170.7</v>
      </c>
    </row>
    <row r="591" spans="2:14" ht="18" hidden="1" x14ac:dyDescent="0.35">
      <c r="D591" s="33" t="s">
        <v>50</v>
      </c>
      <c r="E591" s="33" t="s">
        <v>77</v>
      </c>
      <c r="F591" s="34"/>
      <c r="G591" s="34"/>
      <c r="H591" s="34"/>
      <c r="I591" s="34"/>
      <c r="J591" s="34"/>
      <c r="K591" s="34"/>
      <c r="L591" s="34"/>
      <c r="M591" s="152">
        <f>M122</f>
        <v>7183.4</v>
      </c>
      <c r="N591" s="152">
        <f>N122</f>
        <v>7472.6</v>
      </c>
    </row>
    <row r="592" spans="2:14" ht="18" hidden="1" x14ac:dyDescent="0.35">
      <c r="D592" s="33" t="s">
        <v>50</v>
      </c>
      <c r="E592" s="33" t="s">
        <v>98</v>
      </c>
      <c r="F592" s="34"/>
      <c r="G592" s="34"/>
      <c r="H592" s="34"/>
      <c r="I592" s="34"/>
      <c r="J592" s="34"/>
      <c r="K592" s="34"/>
      <c r="L592" s="34"/>
      <c r="M592" s="152">
        <f>M128</f>
        <v>1126.0999999999999</v>
      </c>
      <c r="N592" s="152">
        <f>N128</f>
        <v>1126.0999999999999</v>
      </c>
    </row>
    <row r="593" spans="4:14" ht="18" hidden="1" x14ac:dyDescent="0.35">
      <c r="D593" s="153" t="s">
        <v>50</v>
      </c>
      <c r="E593" s="153" t="s">
        <v>42</v>
      </c>
      <c r="F593" s="34"/>
      <c r="G593" s="34"/>
      <c r="H593" s="34"/>
      <c r="I593" s="34"/>
      <c r="J593" s="34"/>
      <c r="K593" s="34"/>
      <c r="L593" s="34"/>
      <c r="M593" s="154">
        <f>SUBTOTAL(9,M590:M592)</f>
        <v>32348.299999999996</v>
      </c>
      <c r="N593" s="154">
        <f>SUBTOTAL(9,N590:N592)</f>
        <v>32769.4</v>
      </c>
    </row>
    <row r="594" spans="4:14" ht="18" hidden="1" x14ac:dyDescent="0.35">
      <c r="D594" s="33"/>
      <c r="E594" s="33"/>
      <c r="F594" s="34"/>
      <c r="G594" s="34"/>
      <c r="H594" s="34"/>
      <c r="I594" s="34"/>
      <c r="J594" s="34"/>
      <c r="K594" s="34"/>
      <c r="L594" s="34"/>
      <c r="M594" s="152"/>
      <c r="N594" s="152"/>
    </row>
    <row r="595" spans="4:14" ht="18" hidden="1" x14ac:dyDescent="0.35">
      <c r="D595" s="33" t="s">
        <v>63</v>
      </c>
      <c r="E595" s="33" t="s">
        <v>36</v>
      </c>
      <c r="F595" s="34"/>
      <c r="G595" s="34"/>
      <c r="H595" s="34"/>
      <c r="I595" s="34"/>
      <c r="J595" s="34"/>
      <c r="K595" s="34"/>
      <c r="L595" s="34"/>
      <c r="M595" s="152"/>
      <c r="N595" s="152"/>
    </row>
    <row r="596" spans="4:14" ht="18" hidden="1" x14ac:dyDescent="0.35">
      <c r="D596" s="33" t="s">
        <v>63</v>
      </c>
      <c r="E596" s="33" t="s">
        <v>38</v>
      </c>
      <c r="F596" s="34"/>
      <c r="G596" s="34"/>
      <c r="H596" s="34"/>
      <c r="I596" s="34"/>
      <c r="J596" s="34"/>
      <c r="K596" s="34"/>
      <c r="L596" s="34"/>
      <c r="M596" s="152"/>
      <c r="N596" s="152"/>
    </row>
    <row r="597" spans="4:14" ht="18" hidden="1" x14ac:dyDescent="0.35">
      <c r="D597" s="33" t="s">
        <v>63</v>
      </c>
      <c r="E597" s="33" t="s">
        <v>61</v>
      </c>
      <c r="F597" s="34"/>
      <c r="G597" s="34"/>
      <c r="H597" s="34"/>
      <c r="I597" s="34"/>
      <c r="J597" s="34"/>
      <c r="K597" s="34"/>
      <c r="L597" s="34"/>
      <c r="M597" s="152"/>
      <c r="N597" s="152"/>
    </row>
    <row r="598" spans="4:14" ht="18" hidden="1" x14ac:dyDescent="0.35">
      <c r="D598" s="153" t="s">
        <v>63</v>
      </c>
      <c r="E598" s="153" t="s">
        <v>42</v>
      </c>
      <c r="F598" s="34"/>
      <c r="G598" s="34"/>
      <c r="H598" s="34"/>
      <c r="I598" s="34"/>
      <c r="J598" s="34"/>
      <c r="K598" s="34"/>
      <c r="L598" s="34"/>
      <c r="M598" s="154">
        <f>SUBTOTAL(9,M595:M597)</f>
        <v>0</v>
      </c>
      <c r="N598" s="154">
        <f>SUBTOTAL(9,N595:N597)</f>
        <v>0</v>
      </c>
    </row>
    <row r="599" spans="4:14" ht="18" hidden="1" x14ac:dyDescent="0.35">
      <c r="D599" s="33"/>
      <c r="E599" s="33"/>
      <c r="F599" s="34"/>
      <c r="G599" s="34"/>
      <c r="H599" s="34"/>
      <c r="I599" s="34"/>
      <c r="J599" s="34"/>
      <c r="K599" s="34"/>
      <c r="L599" s="34"/>
      <c r="M599" s="152"/>
      <c r="N599" s="152"/>
    </row>
    <row r="600" spans="4:14" ht="18" hidden="1" x14ac:dyDescent="0.35">
      <c r="D600" s="33" t="s">
        <v>220</v>
      </c>
      <c r="E600" s="33" t="s">
        <v>36</v>
      </c>
      <c r="F600" s="34"/>
      <c r="G600" s="34"/>
      <c r="H600" s="34"/>
      <c r="I600" s="34"/>
      <c r="J600" s="34"/>
      <c r="K600" s="34"/>
      <c r="L600" s="34"/>
      <c r="M600" s="152">
        <f>M282+M245</f>
        <v>438087.69999999995</v>
      </c>
      <c r="N600" s="152">
        <f>N282+N245</f>
        <v>448407.1</v>
      </c>
    </row>
    <row r="601" spans="4:14" ht="18" hidden="1" x14ac:dyDescent="0.35">
      <c r="D601" s="33" t="s">
        <v>220</v>
      </c>
      <c r="E601" s="33" t="s">
        <v>38</v>
      </c>
      <c r="F601" s="34"/>
      <c r="G601" s="34"/>
      <c r="H601" s="34"/>
      <c r="I601" s="34"/>
      <c r="J601" s="34"/>
      <c r="K601" s="34"/>
      <c r="L601" s="34"/>
      <c r="M601" s="152">
        <f>M294+M251</f>
        <v>787496.89999999991</v>
      </c>
      <c r="N601" s="152">
        <f>N294+N251</f>
        <v>807394.70000000007</v>
      </c>
    </row>
    <row r="602" spans="4:14" ht="18" hidden="1" x14ac:dyDescent="0.35">
      <c r="D602" s="33" t="s">
        <v>220</v>
      </c>
      <c r="E602" s="33" t="s">
        <v>61</v>
      </c>
      <c r="F602" s="34"/>
      <c r="G602" s="34"/>
      <c r="H602" s="34"/>
      <c r="I602" s="34"/>
      <c r="J602" s="34"/>
      <c r="K602" s="34"/>
      <c r="L602" s="34"/>
      <c r="M602" s="152">
        <f>M340+M405</f>
        <v>136274.90000000002</v>
      </c>
      <c r="N602" s="152">
        <f>N340+N405</f>
        <v>135431.1</v>
      </c>
    </row>
    <row r="603" spans="4:14" ht="18" hidden="1" x14ac:dyDescent="0.35">
      <c r="D603" s="33" t="s">
        <v>220</v>
      </c>
      <c r="E603" s="33" t="s">
        <v>63</v>
      </c>
      <c r="F603" s="34"/>
      <c r="G603" s="34"/>
      <c r="H603" s="34"/>
      <c r="I603" s="34"/>
      <c r="J603" s="34"/>
      <c r="K603" s="34"/>
      <c r="L603" s="34"/>
      <c r="M603" s="152">
        <f>M144+M184</f>
        <v>179.89999999999998</v>
      </c>
      <c r="N603" s="152">
        <f>N144+N184</f>
        <v>179.89999999999998</v>
      </c>
    </row>
    <row r="604" spans="4:14" ht="18" hidden="1" x14ac:dyDescent="0.35">
      <c r="D604" s="33" t="s">
        <v>220</v>
      </c>
      <c r="E604" s="33" t="s">
        <v>220</v>
      </c>
      <c r="F604" s="34"/>
      <c r="G604" s="34"/>
      <c r="H604" s="34"/>
      <c r="I604" s="34"/>
      <c r="J604" s="34"/>
      <c r="K604" s="34"/>
      <c r="L604" s="34"/>
      <c r="M604" s="152">
        <f>M519</f>
        <v>4526.8999999999996</v>
      </c>
      <c r="N604" s="152">
        <f>N519</f>
        <v>4526.8999999999996</v>
      </c>
    </row>
    <row r="605" spans="4:14" ht="18" hidden="1" x14ac:dyDescent="0.35">
      <c r="D605" s="33" t="s">
        <v>220</v>
      </c>
      <c r="E605" s="33" t="s">
        <v>77</v>
      </c>
      <c r="F605" s="34"/>
      <c r="G605" s="34"/>
      <c r="H605" s="34"/>
      <c r="I605" s="34"/>
      <c r="J605" s="34"/>
      <c r="K605" s="34"/>
      <c r="L605" s="34"/>
      <c r="M605" s="152">
        <f>M357+M413+M527</f>
        <v>96840.200000000012</v>
      </c>
      <c r="N605" s="152">
        <f>N357+N413+N527</f>
        <v>97497.600000000006</v>
      </c>
    </row>
    <row r="606" spans="4:14" ht="18" hidden="1" x14ac:dyDescent="0.35">
      <c r="D606" s="153" t="s">
        <v>220</v>
      </c>
      <c r="E606" s="153" t="s">
        <v>42</v>
      </c>
      <c r="F606" s="34"/>
      <c r="G606" s="34"/>
      <c r="H606" s="34"/>
      <c r="I606" s="34"/>
      <c r="J606" s="34"/>
      <c r="K606" s="34"/>
      <c r="L606" s="34"/>
      <c r="M606" s="154">
        <f>SUBTOTAL(9,M600:M605)</f>
        <v>1463406.4999999998</v>
      </c>
      <c r="N606" s="154">
        <f>SUBTOTAL(9,N600:N605)</f>
        <v>1493437.3</v>
      </c>
    </row>
    <row r="607" spans="4:14" ht="18" hidden="1" x14ac:dyDescent="0.35">
      <c r="D607" s="33"/>
      <c r="E607" s="33"/>
      <c r="F607" s="34"/>
      <c r="G607" s="34"/>
      <c r="H607" s="34"/>
      <c r="I607" s="34"/>
      <c r="J607" s="34"/>
      <c r="K607" s="34"/>
      <c r="L607" s="34"/>
      <c r="M607" s="152"/>
      <c r="N607" s="152"/>
    </row>
    <row r="608" spans="4:14" ht="18" hidden="1" x14ac:dyDescent="0.35">
      <c r="D608" s="33" t="s">
        <v>222</v>
      </c>
      <c r="E608" s="33" t="s">
        <v>36</v>
      </c>
      <c r="F608" s="34"/>
      <c r="G608" s="34"/>
      <c r="H608" s="34"/>
      <c r="I608" s="34"/>
      <c r="J608" s="34"/>
      <c r="K608" s="34"/>
      <c r="L608" s="34"/>
      <c r="M608" s="152">
        <f>M420</f>
        <v>32058.3</v>
      </c>
      <c r="N608" s="152">
        <f>N420</f>
        <v>32037.599999999999</v>
      </c>
    </row>
    <row r="609" spans="4:14" ht="18" hidden="1" x14ac:dyDescent="0.35">
      <c r="D609" s="33" t="s">
        <v>222</v>
      </c>
      <c r="E609" s="33" t="s">
        <v>50</v>
      </c>
      <c r="F609" s="34"/>
      <c r="G609" s="34"/>
      <c r="H609" s="34"/>
      <c r="I609" s="34"/>
      <c r="J609" s="34"/>
      <c r="K609" s="34"/>
      <c r="L609" s="34"/>
      <c r="M609" s="152">
        <f>M439</f>
        <v>12154.7</v>
      </c>
      <c r="N609" s="152">
        <f>N439</f>
        <v>12159.400000000001</v>
      </c>
    </row>
    <row r="610" spans="4:14" ht="18" hidden="1" x14ac:dyDescent="0.35">
      <c r="D610" s="153" t="s">
        <v>222</v>
      </c>
      <c r="E610" s="153" t="s">
        <v>42</v>
      </c>
      <c r="F610" s="34"/>
      <c r="G610" s="34"/>
      <c r="H610" s="34"/>
      <c r="I610" s="34"/>
      <c r="J610" s="34"/>
      <c r="K610" s="34"/>
      <c r="L610" s="34"/>
      <c r="M610" s="154">
        <f>SUBTOTAL(9,M608:M609)</f>
        <v>44213</v>
      </c>
      <c r="N610" s="154">
        <f>SUBTOTAL(9,N608:N609)</f>
        <v>44197</v>
      </c>
    </row>
    <row r="611" spans="4:14" ht="18" hidden="1" x14ac:dyDescent="0.35">
      <c r="D611" s="33"/>
      <c r="E611" s="33"/>
      <c r="F611" s="34"/>
      <c r="G611" s="34"/>
      <c r="H611" s="34"/>
      <c r="I611" s="34"/>
      <c r="J611" s="34"/>
      <c r="K611" s="34"/>
      <c r="L611" s="34"/>
      <c r="M611" s="152"/>
      <c r="N611" s="152"/>
    </row>
    <row r="612" spans="4:14" ht="18" hidden="1" x14ac:dyDescent="0.35">
      <c r="D612" s="33" t="s">
        <v>102</v>
      </c>
      <c r="E612" s="33" t="s">
        <v>36</v>
      </c>
      <c r="F612" s="34"/>
      <c r="G612" s="34"/>
      <c r="H612" s="34"/>
      <c r="I612" s="34"/>
      <c r="J612" s="34"/>
      <c r="K612" s="34"/>
      <c r="L612" s="34"/>
      <c r="M612" s="152">
        <f>M151</f>
        <v>1500</v>
      </c>
      <c r="N612" s="152">
        <f>N151</f>
        <v>1500</v>
      </c>
    </row>
    <row r="613" spans="4:14" ht="18" hidden="1" x14ac:dyDescent="0.35">
      <c r="D613" s="33" t="s">
        <v>102</v>
      </c>
      <c r="E613" s="33" t="s">
        <v>50</v>
      </c>
      <c r="F613" s="34"/>
      <c r="G613" s="34"/>
      <c r="H613" s="34"/>
      <c r="I613" s="34"/>
      <c r="J613" s="34"/>
      <c r="K613" s="34"/>
      <c r="L613" s="34"/>
      <c r="M613" s="152">
        <f>M258+M377+M538</f>
        <v>137301.5747</v>
      </c>
      <c r="N613" s="152">
        <f>N258+N377+N538</f>
        <v>136049.99409999998</v>
      </c>
    </row>
    <row r="614" spans="4:14" ht="18" hidden="1" x14ac:dyDescent="0.35">
      <c r="D614" s="33" t="s">
        <v>102</v>
      </c>
      <c r="E614" s="33" t="s">
        <v>79</v>
      </c>
      <c r="F614" s="34"/>
      <c r="G614" s="34"/>
      <c r="H614" s="34"/>
      <c r="I614" s="34"/>
      <c r="J614" s="34"/>
      <c r="K614" s="34"/>
      <c r="L614" s="34"/>
      <c r="M614" s="152">
        <f>M556+M157</f>
        <v>10519.4</v>
      </c>
      <c r="N614" s="152">
        <f>N556+N157</f>
        <v>11045.1</v>
      </c>
    </row>
    <row r="615" spans="4:14" ht="18" hidden="1" x14ac:dyDescent="0.35">
      <c r="D615" s="153" t="s">
        <v>102</v>
      </c>
      <c r="E615" s="153" t="s">
        <v>42</v>
      </c>
      <c r="F615" s="34"/>
      <c r="G615" s="34"/>
      <c r="H615" s="34"/>
      <c r="I615" s="34"/>
      <c r="J615" s="34"/>
      <c r="K615" s="34"/>
      <c r="L615" s="34"/>
      <c r="M615" s="154">
        <f>SUBTOTAL(9,M612:M614)</f>
        <v>149320.97469999999</v>
      </c>
      <c r="N615" s="154">
        <f>SUBTOTAL(9,N612:N614)</f>
        <v>148595.09409999999</v>
      </c>
    </row>
    <row r="616" spans="4:14" ht="18" hidden="1" x14ac:dyDescent="0.35">
      <c r="D616" s="33"/>
      <c r="E616" s="33"/>
      <c r="F616" s="34"/>
      <c r="G616" s="34"/>
      <c r="H616" s="34"/>
      <c r="I616" s="34"/>
      <c r="J616" s="34"/>
      <c r="K616" s="34"/>
      <c r="L616" s="34"/>
      <c r="M616" s="152"/>
      <c r="N616" s="152"/>
    </row>
    <row r="617" spans="4:14" ht="18" hidden="1" x14ac:dyDescent="0.35">
      <c r="D617" s="33" t="s">
        <v>65</v>
      </c>
      <c r="E617" s="33" t="s">
        <v>36</v>
      </c>
      <c r="F617" s="34"/>
      <c r="G617" s="34"/>
      <c r="H617" s="34"/>
      <c r="I617" s="34"/>
      <c r="J617" s="34"/>
      <c r="K617" s="34"/>
      <c r="L617" s="34"/>
      <c r="M617" s="152">
        <f>M461</f>
        <v>4767.8999999999996</v>
      </c>
      <c r="N617" s="152">
        <f>N461</f>
        <v>4787.5999999999995</v>
      </c>
    </row>
    <row r="618" spans="4:14" ht="18" hidden="1" x14ac:dyDescent="0.35">
      <c r="D618" s="33" t="s">
        <v>65</v>
      </c>
      <c r="E618" s="33" t="s">
        <v>38</v>
      </c>
      <c r="F618" s="34"/>
      <c r="G618" s="34"/>
      <c r="H618" s="34"/>
      <c r="I618" s="34"/>
      <c r="J618" s="34"/>
      <c r="K618" s="34"/>
      <c r="L618" s="34"/>
      <c r="M618" s="152">
        <f>M471</f>
        <v>910.6</v>
      </c>
      <c r="N618" s="152">
        <f>N471</f>
        <v>910.6</v>
      </c>
    </row>
    <row r="619" spans="4:14" ht="18" hidden="1" x14ac:dyDescent="0.35">
      <c r="D619" s="33" t="s">
        <v>65</v>
      </c>
      <c r="E619" s="33" t="s">
        <v>61</v>
      </c>
      <c r="F619" s="34"/>
      <c r="G619" s="34"/>
      <c r="H619" s="34"/>
      <c r="I619" s="34"/>
      <c r="J619" s="34"/>
      <c r="K619" s="34"/>
      <c r="L619" s="34"/>
      <c r="M619" s="152">
        <f>M477+M385</f>
        <v>58459.7</v>
      </c>
      <c r="N619" s="152">
        <f>N477+N385</f>
        <v>57318</v>
      </c>
    </row>
    <row r="620" spans="4:14" ht="18" hidden="1" x14ac:dyDescent="0.35">
      <c r="D620" s="33" t="s">
        <v>65</v>
      </c>
      <c r="E620" s="33" t="s">
        <v>63</v>
      </c>
      <c r="F620" s="34"/>
      <c r="G620" s="34"/>
      <c r="H620" s="34"/>
      <c r="I620" s="34"/>
      <c r="J620" s="34"/>
      <c r="K620" s="34"/>
      <c r="L620" s="34"/>
      <c r="M620" s="152">
        <f>M495</f>
        <v>3179.7999999999997</v>
      </c>
      <c r="N620" s="152">
        <f>N495</f>
        <v>3180.9</v>
      </c>
    </row>
    <row r="621" spans="4:14" ht="18" hidden="1" x14ac:dyDescent="0.35">
      <c r="D621" s="153" t="s">
        <v>65</v>
      </c>
      <c r="E621" s="153" t="s">
        <v>42</v>
      </c>
      <c r="F621" s="34"/>
      <c r="G621" s="34"/>
      <c r="H621" s="34"/>
      <c r="I621" s="34"/>
      <c r="J621" s="34"/>
      <c r="K621" s="34"/>
      <c r="L621" s="34"/>
      <c r="M621" s="154">
        <f>SUBTOTAL(9,M617:M620)</f>
        <v>67318</v>
      </c>
      <c r="N621" s="154">
        <f>SUBTOTAL(9,N617:N620)</f>
        <v>66197.099999999991</v>
      </c>
    </row>
    <row r="622" spans="4:14" ht="18" hidden="1" x14ac:dyDescent="0.35">
      <c r="D622" s="33"/>
      <c r="E622" s="33"/>
      <c r="F622" s="34"/>
      <c r="G622" s="34"/>
      <c r="H622" s="34"/>
      <c r="I622" s="34"/>
      <c r="J622" s="34"/>
      <c r="K622" s="34"/>
      <c r="L622" s="34"/>
      <c r="M622" s="152"/>
      <c r="N622" s="152"/>
    </row>
    <row r="623" spans="4:14" ht="18" hidden="1" x14ac:dyDescent="0.35">
      <c r="D623" s="33" t="s">
        <v>69</v>
      </c>
      <c r="E623" s="33" t="s">
        <v>36</v>
      </c>
      <c r="F623" s="34"/>
      <c r="G623" s="34"/>
      <c r="H623" s="34"/>
      <c r="I623" s="34"/>
      <c r="J623" s="34"/>
      <c r="K623" s="34"/>
      <c r="L623" s="34"/>
      <c r="M623" s="152"/>
      <c r="N623" s="152"/>
    </row>
    <row r="624" spans="4:14" ht="18" hidden="1" x14ac:dyDescent="0.35">
      <c r="D624" s="153" t="s">
        <v>69</v>
      </c>
      <c r="E624" s="153" t="s">
        <v>42</v>
      </c>
      <c r="F624" s="34"/>
      <c r="G624" s="34"/>
      <c r="H624" s="34"/>
      <c r="I624" s="34"/>
      <c r="J624" s="34"/>
      <c r="K624" s="34"/>
      <c r="L624" s="34"/>
      <c r="M624" s="154">
        <f>M623</f>
        <v>0</v>
      </c>
      <c r="N624" s="154">
        <f>N623</f>
        <v>0</v>
      </c>
    </row>
    <row r="625" spans="2:14" ht="18" hidden="1" x14ac:dyDescent="0.35">
      <c r="D625" s="33"/>
      <c r="E625" s="33"/>
      <c r="F625" s="34"/>
      <c r="G625" s="34"/>
      <c r="H625" s="34"/>
      <c r="I625" s="34"/>
      <c r="J625" s="34"/>
      <c r="K625" s="34"/>
      <c r="L625" s="34"/>
      <c r="M625" s="152"/>
      <c r="N625" s="152"/>
    </row>
    <row r="626" spans="2:14" ht="18" hidden="1" x14ac:dyDescent="0.35">
      <c r="D626" s="33" t="s">
        <v>86</v>
      </c>
      <c r="E626" s="33" t="s">
        <v>36</v>
      </c>
      <c r="F626" s="34"/>
      <c r="G626" s="34"/>
      <c r="H626" s="34"/>
      <c r="I626" s="34"/>
      <c r="J626" s="34"/>
      <c r="K626" s="34"/>
      <c r="L626" s="34"/>
      <c r="M626" s="152">
        <f>M191</f>
        <v>9000</v>
      </c>
      <c r="N626" s="152">
        <f>N191</f>
        <v>9000</v>
      </c>
    </row>
    <row r="627" spans="2:14" ht="18" hidden="1" x14ac:dyDescent="0.35">
      <c r="D627" s="153" t="s">
        <v>86</v>
      </c>
      <c r="E627" s="153" t="s">
        <v>42</v>
      </c>
      <c r="F627" s="34"/>
      <c r="G627" s="34"/>
      <c r="H627" s="34"/>
      <c r="I627" s="34"/>
      <c r="J627" s="34"/>
      <c r="K627" s="34"/>
      <c r="L627" s="34"/>
      <c r="M627" s="154">
        <f>SUBTOTAL(9,M626:M626)</f>
        <v>9000</v>
      </c>
      <c r="N627" s="154">
        <f>SUBTOTAL(9,N626:N626)</f>
        <v>9000</v>
      </c>
    </row>
    <row r="628" spans="2:14" ht="18" hidden="1" x14ac:dyDescent="0.35">
      <c r="D628" s="33"/>
      <c r="E628" s="33"/>
      <c r="F628" s="34"/>
      <c r="G628" s="34"/>
      <c r="H628" s="34"/>
      <c r="I628" s="34"/>
      <c r="J628" s="34"/>
      <c r="K628" s="34"/>
      <c r="L628" s="34"/>
      <c r="M628" s="152"/>
      <c r="N628" s="152"/>
    </row>
    <row r="629" spans="2:14" ht="18" hidden="1" x14ac:dyDescent="0.35">
      <c r="D629" s="155" t="s">
        <v>360</v>
      </c>
      <c r="E629" s="33"/>
      <c r="F629" s="34"/>
      <c r="G629" s="34"/>
      <c r="H629" s="34"/>
      <c r="I629" s="34"/>
      <c r="J629" s="34"/>
      <c r="K629" s="34"/>
      <c r="L629" s="34"/>
      <c r="M629" s="152">
        <f>M569</f>
        <v>44098.7</v>
      </c>
      <c r="N629" s="152">
        <f>N569</f>
        <v>93440.1</v>
      </c>
    </row>
    <row r="630" spans="2:14" ht="18" hidden="1" x14ac:dyDescent="0.35">
      <c r="D630" s="33"/>
      <c r="E630" s="33"/>
      <c r="F630" s="34"/>
      <c r="G630" s="34"/>
      <c r="H630" s="34"/>
      <c r="I630" s="34"/>
      <c r="J630" s="34"/>
      <c r="K630" s="34"/>
      <c r="L630" s="34"/>
      <c r="M630" s="152"/>
      <c r="N630" s="152"/>
    </row>
    <row r="631" spans="2:14" ht="18" hidden="1" x14ac:dyDescent="0.35">
      <c r="D631" s="33"/>
      <c r="E631" s="33"/>
      <c r="F631" s="34"/>
      <c r="G631" s="34"/>
      <c r="H631" s="34"/>
      <c r="I631" s="34"/>
      <c r="J631" s="34"/>
      <c r="K631" s="34"/>
      <c r="L631" s="34"/>
      <c r="M631" s="154"/>
      <c r="N631" s="154"/>
    </row>
    <row r="632" spans="2:14" ht="18" hidden="1" x14ac:dyDescent="0.35">
      <c r="D632" s="33"/>
      <c r="E632" s="33"/>
      <c r="F632" s="34"/>
      <c r="G632" s="34"/>
      <c r="H632" s="34"/>
      <c r="I632" s="34"/>
      <c r="J632" s="34"/>
      <c r="K632" s="34"/>
      <c r="L632" s="34"/>
      <c r="M632" s="152"/>
      <c r="N632" s="152"/>
    </row>
    <row r="633" spans="2:14" ht="18" hidden="1" x14ac:dyDescent="0.35">
      <c r="B633" s="6" t="s">
        <v>363</v>
      </c>
      <c r="D633" s="33"/>
      <c r="E633" s="33"/>
      <c r="F633" s="34"/>
      <c r="G633" s="34"/>
      <c r="H633" s="34"/>
      <c r="I633" s="34"/>
      <c r="J633" s="34"/>
      <c r="K633" s="34"/>
      <c r="L633" s="34"/>
      <c r="M633" s="152"/>
      <c r="N633" s="152"/>
    </row>
    <row r="634" spans="2:14" ht="18" hidden="1" x14ac:dyDescent="0.35">
      <c r="B634" s="6" t="s">
        <v>362</v>
      </c>
      <c r="D634" s="33"/>
      <c r="E634" s="33"/>
      <c r="F634" s="34"/>
      <c r="G634" s="34"/>
      <c r="H634" s="34"/>
      <c r="I634" s="34"/>
      <c r="J634" s="34"/>
      <c r="K634" s="34"/>
      <c r="L634" s="34"/>
      <c r="M634" s="152"/>
      <c r="N634" s="152"/>
    </row>
    <row r="635" spans="2:14" ht="18" hidden="1" x14ac:dyDescent="0.35">
      <c r="D635" s="33"/>
      <c r="E635" s="33"/>
      <c r="F635" s="34"/>
      <c r="G635" s="34"/>
      <c r="H635" s="34"/>
      <c r="I635" s="34"/>
      <c r="J635" s="34"/>
      <c r="K635" s="34"/>
      <c r="L635" s="34"/>
      <c r="M635" s="156"/>
      <c r="N635" s="156"/>
    </row>
    <row r="636" spans="2:14" ht="18" hidden="1" x14ac:dyDescent="0.35">
      <c r="D636" s="33"/>
      <c r="E636" s="33"/>
      <c r="F636" s="34"/>
      <c r="G636" s="34"/>
      <c r="H636" s="34"/>
      <c r="I636" s="34"/>
      <c r="J636" s="34"/>
      <c r="K636" s="34"/>
      <c r="L636" s="34"/>
      <c r="M636" s="156"/>
      <c r="N636" s="156"/>
    </row>
    <row r="637" spans="2:14" x14ac:dyDescent="0.3">
      <c r="M637" s="117"/>
      <c r="N637" s="117"/>
    </row>
  </sheetData>
  <autoFilter ref="A4:N638"/>
  <mergeCells count="12">
    <mergeCell ref="F15:I15"/>
    <mergeCell ref="A9:N9"/>
    <mergeCell ref="A13:A14"/>
    <mergeCell ref="B13:B14"/>
    <mergeCell ref="C13:C14"/>
    <mergeCell ref="D13:D14"/>
    <mergeCell ref="E13:E14"/>
    <mergeCell ref="F13:I14"/>
    <mergeCell ref="J13:J14"/>
    <mergeCell ref="N13:N14"/>
    <mergeCell ref="L13:M13"/>
    <mergeCell ref="K13:K14"/>
  </mergeCells>
  <printOptions horizontalCentered="1"/>
  <pageMargins left="1.1811023622047245" right="0.39370078740157483" top="0.78740157480314965" bottom="0.78740157480314965" header="0.31496062992125984" footer="0.31496062992125984"/>
  <pageSetup paperSize="9" scale="64" fitToHeight="0" orientation="portrait" blackAndWhite="1" r:id="rId1"/>
  <headerFooter differentFirst="1">
    <oddHeader>&amp;C&amp;"Times New Roman,обычный"&amp;12&amp;P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H35"/>
  <sheetViews>
    <sheetView zoomScale="80" zoomScaleNormal="80" workbookViewId="0">
      <selection activeCell="F8" sqref="F8"/>
    </sheetView>
  </sheetViews>
  <sheetFormatPr defaultColWidth="9.109375" defaultRowHeight="18" x14ac:dyDescent="0.35"/>
  <cols>
    <col min="1" max="1" width="33.33203125" style="225" customWidth="1"/>
    <col min="2" max="2" width="56.109375" style="225" customWidth="1"/>
    <col min="3" max="3" width="18.6640625" style="225" customWidth="1"/>
    <col min="4" max="4" width="15.88671875" style="225" customWidth="1"/>
    <col min="5" max="5" width="15.33203125" style="225" customWidth="1"/>
    <col min="6" max="6" width="19.88671875" style="225" customWidth="1"/>
    <col min="7" max="7" width="10.88671875" style="225" bestFit="1" customWidth="1"/>
    <col min="8" max="16384" width="9.109375" style="225"/>
  </cols>
  <sheetData>
    <row r="1" spans="1:6" x14ac:dyDescent="0.35">
      <c r="E1" s="158" t="s">
        <v>488</v>
      </c>
    </row>
    <row r="2" spans="1:6" x14ac:dyDescent="0.35">
      <c r="E2" s="158" t="s">
        <v>697</v>
      </c>
    </row>
    <row r="4" spans="1:6" x14ac:dyDescent="0.35">
      <c r="E4" s="158" t="s">
        <v>529</v>
      </c>
    </row>
    <row r="5" spans="1:6" x14ac:dyDescent="0.35">
      <c r="E5" s="158" t="s">
        <v>630</v>
      </c>
    </row>
    <row r="6" spans="1:6" x14ac:dyDescent="0.35">
      <c r="E6" s="158"/>
    </row>
    <row r="7" spans="1:6" s="39" customFormat="1" ht="18" customHeight="1" x14ac:dyDescent="0.35">
      <c r="C7" s="44"/>
    </row>
    <row r="8" spans="1:6" s="39" customFormat="1" ht="36" customHeight="1" x14ac:dyDescent="0.35">
      <c r="A8" s="742" t="s">
        <v>575</v>
      </c>
      <c r="B8" s="743"/>
      <c r="C8" s="743"/>
      <c r="D8" s="743"/>
      <c r="E8" s="743"/>
    </row>
    <row r="9" spans="1:6" x14ac:dyDescent="0.35">
      <c r="A9" s="743"/>
      <c r="B9" s="743"/>
      <c r="C9" s="743"/>
      <c r="D9" s="743"/>
      <c r="E9" s="743"/>
      <c r="F9" s="440"/>
    </row>
    <row r="10" spans="1:6" ht="37.5" customHeight="1" x14ac:dyDescent="0.35">
      <c r="E10" s="243" t="s">
        <v>235</v>
      </c>
    </row>
    <row r="11" spans="1:6" ht="33" customHeight="1" x14ac:dyDescent="0.35">
      <c r="A11" s="700" t="s">
        <v>13</v>
      </c>
      <c r="B11" s="700" t="s">
        <v>465</v>
      </c>
      <c r="C11" s="744" t="s">
        <v>15</v>
      </c>
      <c r="D11" s="745"/>
      <c r="E11" s="746"/>
      <c r="F11" s="441"/>
    </row>
    <row r="12" spans="1:6" ht="43.2" customHeight="1" x14ac:dyDescent="0.35">
      <c r="A12" s="701"/>
      <c r="B12" s="701"/>
      <c r="C12" s="188" t="s">
        <v>477</v>
      </c>
      <c r="D12" s="188" t="s">
        <v>527</v>
      </c>
      <c r="E12" s="188" t="s">
        <v>568</v>
      </c>
      <c r="F12" s="441"/>
    </row>
    <row r="13" spans="1:6" ht="18" customHeight="1" x14ac:dyDescent="0.35">
      <c r="A13" s="232">
        <v>1</v>
      </c>
      <c r="B13" s="244">
        <v>2</v>
      </c>
      <c r="C13" s="314">
        <v>3</v>
      </c>
      <c r="D13" s="232">
        <v>4</v>
      </c>
      <c r="E13" s="245">
        <v>5</v>
      </c>
      <c r="F13" s="441"/>
    </row>
    <row r="14" spans="1:6" ht="37.200000000000003" customHeight="1" x14ac:dyDescent="0.35">
      <c r="A14" s="246" t="s">
        <v>236</v>
      </c>
      <c r="B14" s="313" t="s">
        <v>237</v>
      </c>
      <c r="C14" s="247">
        <f>C19+C15+C28</f>
        <v>94534.098879999947</v>
      </c>
      <c r="D14" s="247">
        <f>D19</f>
        <v>0</v>
      </c>
      <c r="E14" s="247">
        <f t="shared" ref="E14" si="0">E19</f>
        <v>0</v>
      </c>
      <c r="F14" s="442"/>
    </row>
    <row r="15" spans="1:6" ht="37.200000000000003" customHeight="1" x14ac:dyDescent="0.35">
      <c r="A15" s="248" t="s">
        <v>580</v>
      </c>
      <c r="B15" s="592" t="s">
        <v>613</v>
      </c>
      <c r="C15" s="315">
        <f>C16</f>
        <v>-36000</v>
      </c>
      <c r="D15" s="619">
        <f t="shared" ref="D15:E17" si="1">D16</f>
        <v>0</v>
      </c>
      <c r="E15" s="315">
        <f t="shared" si="1"/>
        <v>0</v>
      </c>
      <c r="F15" s="442"/>
    </row>
    <row r="16" spans="1:6" ht="61.95" customHeight="1" x14ac:dyDescent="0.35">
      <c r="A16" s="249" t="s">
        <v>581</v>
      </c>
      <c r="B16" s="593" t="s">
        <v>582</v>
      </c>
      <c r="C16" s="618">
        <v>-36000</v>
      </c>
      <c r="D16" s="620">
        <f t="shared" si="1"/>
        <v>0</v>
      </c>
      <c r="E16" s="618">
        <f t="shared" si="1"/>
        <v>0</v>
      </c>
      <c r="F16" s="442"/>
    </row>
    <row r="17" spans="1:7" ht="76.2" customHeight="1" x14ac:dyDescent="0.35">
      <c r="A17" s="249" t="s">
        <v>583</v>
      </c>
      <c r="B17" s="593" t="s">
        <v>584</v>
      </c>
      <c r="C17" s="618">
        <f>C18</f>
        <v>36000</v>
      </c>
      <c r="D17" s="618">
        <f t="shared" si="1"/>
        <v>0</v>
      </c>
      <c r="E17" s="618">
        <f t="shared" si="1"/>
        <v>0</v>
      </c>
      <c r="F17" s="442"/>
    </row>
    <row r="18" spans="1:7" ht="79.2" customHeight="1" x14ac:dyDescent="0.35">
      <c r="A18" s="249" t="s">
        <v>585</v>
      </c>
      <c r="B18" s="593" t="s">
        <v>586</v>
      </c>
      <c r="C18" s="618">
        <v>36000</v>
      </c>
      <c r="D18" s="618">
        <v>0</v>
      </c>
      <c r="E18" s="618">
        <v>0</v>
      </c>
      <c r="F18" s="442"/>
    </row>
    <row r="19" spans="1:7" s="445" customFormat="1" ht="34.950000000000003" customHeight="1" x14ac:dyDescent="0.3">
      <c r="A19" s="248" t="s">
        <v>238</v>
      </c>
      <c r="B19" s="469" t="s">
        <v>239</v>
      </c>
      <c r="C19" s="315">
        <f>C24-C20</f>
        <v>94534.098879999947</v>
      </c>
      <c r="D19" s="315">
        <f>D24-D20</f>
        <v>0</v>
      </c>
      <c r="E19" s="315">
        <f>E24-E20</f>
        <v>0</v>
      </c>
      <c r="F19" s="443"/>
      <c r="G19" s="444"/>
    </row>
    <row r="20" spans="1:7" x14ac:dyDescent="0.35">
      <c r="A20" s="249" t="s">
        <v>240</v>
      </c>
      <c r="B20" s="470" t="s">
        <v>241</v>
      </c>
      <c r="C20" s="310">
        <f t="shared" ref="C20:E22" si="2">C21</f>
        <v>2377910.8314999999</v>
      </c>
      <c r="D20" s="310">
        <f t="shared" si="2"/>
        <v>2079560.3999999997</v>
      </c>
      <c r="E20" s="310">
        <f t="shared" si="2"/>
        <v>2148414.9999999995</v>
      </c>
    </row>
    <row r="21" spans="1:7" ht="16.5" customHeight="1" x14ac:dyDescent="0.35">
      <c r="A21" s="249" t="s">
        <v>242</v>
      </c>
      <c r="B21" s="470" t="s">
        <v>243</v>
      </c>
      <c r="C21" s="310">
        <f t="shared" si="2"/>
        <v>2377910.8314999999</v>
      </c>
      <c r="D21" s="310">
        <f t="shared" si="2"/>
        <v>2079560.3999999997</v>
      </c>
      <c r="E21" s="310">
        <f t="shared" si="2"/>
        <v>2148414.9999999995</v>
      </c>
    </row>
    <row r="22" spans="1:7" ht="20.25" customHeight="1" x14ac:dyDescent="0.35">
      <c r="A22" s="249" t="s">
        <v>321</v>
      </c>
      <c r="B22" s="471" t="s">
        <v>244</v>
      </c>
      <c r="C22" s="311">
        <f t="shared" si="2"/>
        <v>2377910.8314999999</v>
      </c>
      <c r="D22" s="311">
        <f t="shared" si="2"/>
        <v>2079560.3999999997</v>
      </c>
      <c r="E22" s="311">
        <f t="shared" si="2"/>
        <v>2148414.9999999995</v>
      </c>
    </row>
    <row r="23" spans="1:7" ht="37.5" customHeight="1" x14ac:dyDescent="0.35">
      <c r="A23" s="249" t="s">
        <v>245</v>
      </c>
      <c r="B23" s="471" t="s">
        <v>3</v>
      </c>
      <c r="C23" s="311">
        <f>'прил. 1 (поступл.24-26)'!C47+C28+'прил. 1 (поступл.24-26)'!C46+'прил. 1 (поступл.24-26)'!C43+'прил. 1 (поступл.24-26)'!C44+'прил. 1 (поступл.24-26)'!C45</f>
        <v>2377910.8314999999</v>
      </c>
      <c r="D23" s="309">
        <f>'прил. 1 (поступл.24-26)'!D47</f>
        <v>2079560.3999999997</v>
      </c>
      <c r="E23" s="309">
        <f>'прил. 1 (поступл.24-26)'!E47</f>
        <v>2148414.9999999995</v>
      </c>
    </row>
    <row r="24" spans="1:7" x14ac:dyDescent="0.35">
      <c r="A24" s="249" t="s">
        <v>246</v>
      </c>
      <c r="B24" s="471" t="s">
        <v>247</v>
      </c>
      <c r="C24" s="311">
        <f>C25</f>
        <v>2472444.9303799998</v>
      </c>
      <c r="D24" s="311">
        <f t="shared" ref="D24:E26" si="3">D25</f>
        <v>2079560.3999999997</v>
      </c>
      <c r="E24" s="311">
        <f t="shared" si="3"/>
        <v>2148415</v>
      </c>
    </row>
    <row r="25" spans="1:7" x14ac:dyDescent="0.35">
      <c r="A25" s="249" t="s">
        <v>248</v>
      </c>
      <c r="B25" s="471" t="s">
        <v>249</v>
      </c>
      <c r="C25" s="311">
        <f>C26</f>
        <v>2472444.9303799998</v>
      </c>
      <c r="D25" s="311">
        <f t="shared" si="3"/>
        <v>2079560.3999999997</v>
      </c>
      <c r="E25" s="311">
        <f t="shared" si="3"/>
        <v>2148415</v>
      </c>
    </row>
    <row r="26" spans="1:7" ht="22.2" customHeight="1" x14ac:dyDescent="0.35">
      <c r="A26" s="249" t="s">
        <v>250</v>
      </c>
      <c r="B26" s="471" t="s">
        <v>251</v>
      </c>
      <c r="C26" s="311">
        <f>C27</f>
        <v>2472444.9303799998</v>
      </c>
      <c r="D26" s="311">
        <f t="shared" si="3"/>
        <v>2079560.3999999997</v>
      </c>
      <c r="E26" s="311">
        <f t="shared" si="3"/>
        <v>2148415</v>
      </c>
    </row>
    <row r="27" spans="1:7" ht="36" x14ac:dyDescent="0.35">
      <c r="A27" s="250" t="s">
        <v>252</v>
      </c>
      <c r="B27" s="472" t="s">
        <v>4</v>
      </c>
      <c r="C27" s="312">
        <f>'прил8 (ведом 24)'!M14+C18+'прил. 1 (поступл.24-26)'!C46+'прил. 1 (поступл.24-26)'!C45+'прил. 1 (поступл.24-26)'!C44+'прил. 1 (поступл.24-26)'!C43</f>
        <v>2472444.9303799998</v>
      </c>
      <c r="D27" s="312">
        <f>'прил9 (ведом 25-26)'!M16</f>
        <v>2079560.3999999997</v>
      </c>
      <c r="E27" s="312">
        <f>'прил9 (ведом 25-26)'!N16</f>
        <v>2148415</v>
      </c>
    </row>
    <row r="28" spans="1:7" ht="34.799999999999997" x14ac:dyDescent="0.35">
      <c r="A28" s="591" t="s">
        <v>541</v>
      </c>
      <c r="B28" s="592" t="s">
        <v>542</v>
      </c>
      <c r="C28" s="315">
        <f t="shared" ref="C28:E29" si="4">C29</f>
        <v>36000</v>
      </c>
      <c r="D28" s="315">
        <f t="shared" si="4"/>
        <v>0</v>
      </c>
      <c r="E28" s="315">
        <f t="shared" si="4"/>
        <v>0</v>
      </c>
    </row>
    <row r="29" spans="1:7" ht="36" x14ac:dyDescent="0.35">
      <c r="A29" s="249" t="s">
        <v>543</v>
      </c>
      <c r="B29" s="593" t="s">
        <v>544</v>
      </c>
      <c r="C29" s="311">
        <f t="shared" si="4"/>
        <v>36000</v>
      </c>
      <c r="D29" s="311">
        <f t="shared" si="4"/>
        <v>0</v>
      </c>
      <c r="E29" s="311">
        <f t="shared" si="4"/>
        <v>0</v>
      </c>
    </row>
    <row r="30" spans="1:7" ht="36" x14ac:dyDescent="0.35">
      <c r="A30" s="249" t="s">
        <v>545</v>
      </c>
      <c r="B30" s="593" t="s">
        <v>546</v>
      </c>
      <c r="C30" s="311">
        <f t="shared" ref="C30:E30" si="5">C31</f>
        <v>36000</v>
      </c>
      <c r="D30" s="311">
        <f t="shared" si="5"/>
        <v>0</v>
      </c>
      <c r="E30" s="311">
        <f t="shared" si="5"/>
        <v>0</v>
      </c>
    </row>
    <row r="31" spans="1:7" ht="72" x14ac:dyDescent="0.35">
      <c r="A31" s="249" t="s">
        <v>547</v>
      </c>
      <c r="B31" s="593" t="s">
        <v>548</v>
      </c>
      <c r="C31" s="311">
        <f>C32</f>
        <v>36000</v>
      </c>
      <c r="D31" s="311">
        <f>D32</f>
        <v>0</v>
      </c>
      <c r="E31" s="311">
        <f>E32</f>
        <v>0</v>
      </c>
    </row>
    <row r="32" spans="1:7" ht="90" x14ac:dyDescent="0.35">
      <c r="A32" s="250" t="s">
        <v>549</v>
      </c>
      <c r="B32" s="594" t="s">
        <v>550</v>
      </c>
      <c r="C32" s="312">
        <v>36000</v>
      </c>
      <c r="D32" s="312">
        <v>0</v>
      </c>
      <c r="E32" s="595">
        <v>0</v>
      </c>
    </row>
    <row r="33" spans="1:8" s="267" customFormat="1" ht="55.2" customHeight="1" x14ac:dyDescent="0.35">
      <c r="A33" s="439" t="s">
        <v>371</v>
      </c>
      <c r="B33" s="668"/>
      <c r="C33" s="96"/>
      <c r="D33" s="96"/>
      <c r="E33" s="96"/>
      <c r="F33" s="297"/>
      <c r="G33" s="110"/>
      <c r="H33" s="446"/>
    </row>
    <row r="34" spans="1:8" s="267" customFormat="1" x14ac:dyDescent="0.35">
      <c r="A34" s="439" t="s">
        <v>372</v>
      </c>
      <c r="B34" s="668"/>
      <c r="C34" s="96"/>
      <c r="D34" s="96"/>
      <c r="E34" s="96"/>
      <c r="F34" s="297"/>
      <c r="G34" s="110"/>
      <c r="H34" s="446"/>
    </row>
    <row r="35" spans="1:8" s="267" customFormat="1" x14ac:dyDescent="0.35">
      <c r="A35" s="614" t="s">
        <v>373</v>
      </c>
      <c r="B35" s="668"/>
      <c r="C35" s="111"/>
      <c r="D35" s="96"/>
      <c r="E35" s="111" t="s">
        <v>383</v>
      </c>
      <c r="F35" s="297"/>
    </row>
  </sheetData>
  <mergeCells count="4">
    <mergeCell ref="A8:E9"/>
    <mergeCell ref="C11:E11"/>
    <mergeCell ref="A11:A12"/>
    <mergeCell ref="B11:B12"/>
  </mergeCells>
  <printOptions horizontalCentered="1"/>
  <pageMargins left="1.1811023622047245" right="0.39370078740157483" top="0.78740157480314965" bottom="0.78740157480314965" header="0" footer="0"/>
  <pageSetup paperSize="9" scale="61"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19</vt:i4>
      </vt:variant>
    </vt:vector>
  </HeadingPairs>
  <TitlesOfParts>
    <vt:vector size="29" baseType="lpstr">
      <vt:lpstr>прил. 1 (поступл.24-26)</vt:lpstr>
      <vt:lpstr>прил.2(пост.безв.24)</vt:lpstr>
      <vt:lpstr>прил.3 (пост.безв.25-26)</vt:lpstr>
      <vt:lpstr>прил 5 (Рз,ПР 24-26)</vt:lpstr>
      <vt:lpstr>прил 6 (ЦС,ВР 24)</vt:lpstr>
      <vt:lpstr>прил 7 (ЦС,ВР 25-26)</vt:lpstr>
      <vt:lpstr>прил8 (ведом 24)</vt:lpstr>
      <vt:lpstr>прил9 (ведом 25-26)</vt:lpstr>
      <vt:lpstr>прил.10 (Источники 24-26)</vt:lpstr>
      <vt:lpstr>прил.11 (безв.всего 23-25)</vt:lpstr>
      <vt:lpstr>'прил 5 (Рз,ПР 24-26)'!Заголовки_для_печати</vt:lpstr>
      <vt:lpstr>'прил 6 (ЦС,ВР 24)'!Заголовки_для_печати</vt:lpstr>
      <vt:lpstr>'прил 7 (ЦС,ВР 25-26)'!Заголовки_для_печати</vt:lpstr>
      <vt:lpstr>'прил. 1 (поступл.24-26)'!Заголовки_для_печати</vt:lpstr>
      <vt:lpstr>'прил.10 (Источники 24-26)'!Заголовки_для_печати</vt:lpstr>
      <vt:lpstr>'прил.2(пост.безв.24)'!Заголовки_для_печати</vt:lpstr>
      <vt:lpstr>'прил.3 (пост.безв.25-26)'!Заголовки_для_печати</vt:lpstr>
      <vt:lpstr>'прил8 (ведом 24)'!Заголовки_для_печати</vt:lpstr>
      <vt:lpstr>'прил9 (ведом 25-26)'!Заголовки_для_печати</vt:lpstr>
      <vt:lpstr>'прил 5 (Рз,ПР 24-26)'!Область_печати</vt:lpstr>
      <vt:lpstr>'прил 6 (ЦС,ВР 24)'!Область_печати</vt:lpstr>
      <vt:lpstr>'прил 7 (ЦС,ВР 25-26)'!Область_печати</vt:lpstr>
      <vt:lpstr>'прил. 1 (поступл.24-26)'!Область_печати</vt:lpstr>
      <vt:lpstr>'прил.10 (Источники 24-26)'!Область_печати</vt:lpstr>
      <vt:lpstr>'прил.11 (безв.всего 23-25)'!Область_печати</vt:lpstr>
      <vt:lpstr>'прил.2(пост.безв.24)'!Область_печати</vt:lpstr>
      <vt:lpstr>'прил.3 (пост.безв.25-26)'!Область_печати</vt:lpstr>
      <vt:lpstr>'прил8 (ведом 24)'!Область_печати</vt:lpstr>
      <vt:lpstr>'прил9 (ведом 25-26)'!Область_печати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2024-04-25T11:57:07Z</dcterms:modified>
</cp:coreProperties>
</file>